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a8006ed111fc18/Desktop/Smisby Parish Council/Smisby Parish Council 2024 25/Finance/"/>
    </mc:Choice>
  </mc:AlternateContent>
  <xr:revisionPtr revIDLastSave="7" documentId="8_{F46E8F06-35BF-4E2E-BE4E-B68B05D47FD6}" xr6:coauthVersionLast="47" xr6:coauthVersionMax="47" xr10:uidLastSave="{10EABB43-2CF8-4936-9A45-F7DA59171894}"/>
  <bookViews>
    <workbookView xWindow="-110" yWindow="-110" windowWidth="19420" windowHeight="10300" xr2:uid="{00000000-000D-0000-FFFF-FFFF00000000}"/>
  </bookViews>
  <sheets>
    <sheet name="Income and Expenditure" sheetId="1" r:id="rId1"/>
    <sheet name="VAT" sheetId="5" r:id="rId2"/>
    <sheet name="S137" sheetId="6" r:id="rId3"/>
    <sheet name="Bank Statements" sheetId="2" r:id="rId4"/>
    <sheet name="Balance Sheet" sheetId="3" r:id="rId5"/>
    <sheet name="Budget" sheetId="4" r:id="rId6"/>
  </sheets>
  <definedNames>
    <definedName name="_xlnm._FilterDatabase" localSheetId="0" hidden="1">'Income and Expenditure'!$A$17:$Y$81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2" l="1"/>
  <c r="G74" i="2"/>
  <c r="G73" i="2"/>
  <c r="G72" i="2"/>
  <c r="G71" i="2"/>
  <c r="G70" i="2"/>
  <c r="G69" i="2"/>
  <c r="E80" i="1"/>
  <c r="G68" i="2"/>
  <c r="E11" i="1"/>
  <c r="E79" i="1"/>
  <c r="AH21" i="4"/>
  <c r="E74" i="1"/>
  <c r="E75" i="1"/>
  <c r="E76" i="1"/>
  <c r="E77" i="1"/>
  <c r="E78" i="1"/>
  <c r="AH40" i="4"/>
  <c r="C26" i="3" l="1"/>
  <c r="AH18" i="4"/>
  <c r="AJ15" i="4"/>
  <c r="AM27" i="4" l="1"/>
  <c r="P43" i="1" l="1"/>
  <c r="F43" i="1" s="1"/>
  <c r="E43" i="1" s="1"/>
  <c r="J41" i="1"/>
  <c r="E41" i="1" s="1"/>
  <c r="AD40" i="4"/>
  <c r="AA25" i="4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38" i="1"/>
  <c r="E39" i="1"/>
  <c r="E40" i="1"/>
  <c r="E42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18" i="1"/>
  <c r="E34" i="1" l="1"/>
  <c r="X12" i="4"/>
  <c r="X35" i="4"/>
  <c r="W22" i="4"/>
  <c r="W17" i="4"/>
  <c r="AA31" i="4"/>
  <c r="X37" i="4" l="1"/>
  <c r="F3" i="1"/>
  <c r="B3" i="6"/>
  <c r="G4" i="2"/>
  <c r="G5" i="2" s="1"/>
  <c r="V81" i="1"/>
  <c r="AA12" i="4"/>
  <c r="AB33" i="4" l="1"/>
  <c r="AD33" i="4" s="1"/>
  <c r="E37" i="3"/>
  <c r="AA34" i="4"/>
  <c r="W12" i="4"/>
  <c r="W37" i="4" s="1"/>
  <c r="T81" i="1" l="1"/>
  <c r="E36" i="3" l="1"/>
  <c r="AB32" i="4"/>
  <c r="AD32" i="4" s="1"/>
  <c r="T35" i="4"/>
  <c r="T12" i="4"/>
  <c r="U12" i="4"/>
  <c r="T37" i="4" l="1"/>
  <c r="U35" i="4"/>
  <c r="U37" i="4" s="1"/>
  <c r="AD11" i="4"/>
  <c r="AA35" i="4" l="1"/>
  <c r="U81" i="1" l="1"/>
  <c r="E38" i="3" s="1"/>
  <c r="AB31" i="4" s="1"/>
  <c r="AD31" i="4" s="1"/>
  <c r="R35" i="4"/>
  <c r="R12" i="4"/>
  <c r="C40" i="3"/>
  <c r="E9" i="1"/>
  <c r="R37" i="4" l="1"/>
  <c r="AA37" i="4"/>
  <c r="E8" i="1"/>
  <c r="S81" i="1" l="1"/>
  <c r="AB29" i="4" s="1"/>
  <c r="AD29" i="4" s="1"/>
  <c r="F81" i="1"/>
  <c r="W81" i="1"/>
  <c r="E39" i="3" s="1"/>
  <c r="AB16" i="4" l="1"/>
  <c r="AB34" i="4"/>
  <c r="AD34" i="4" s="1"/>
  <c r="Q81" i="1"/>
  <c r="E35" i="3" l="1"/>
  <c r="AB30" i="4"/>
  <c r="AD30" i="4" s="1"/>
  <c r="AD16" i="4"/>
  <c r="AC12" i="4"/>
  <c r="K37" i="4"/>
  <c r="C49" i="3" l="1"/>
  <c r="E10" i="1"/>
  <c r="R81" i="1" l="1"/>
  <c r="AB27" i="4" s="1"/>
  <c r="AD27" i="4" s="1"/>
  <c r="E32" i="3" l="1"/>
  <c r="E33" i="3" l="1"/>
  <c r="G20" i="4" l="1"/>
  <c r="Q12" i="4" l="1"/>
  <c r="P81" i="1" l="1"/>
  <c r="AB28" i="4" s="1"/>
  <c r="AD28" i="4" s="1"/>
  <c r="AH28" i="4" s="1"/>
  <c r="E12" i="1"/>
  <c r="E7" i="1"/>
  <c r="E6" i="1"/>
  <c r="E5" i="1"/>
  <c r="E4" i="1"/>
  <c r="E3" i="1"/>
  <c r="K14" i="1"/>
  <c r="AB10" i="4" s="1"/>
  <c r="AD10" i="4" s="1"/>
  <c r="E34" i="3" l="1"/>
  <c r="E12" i="3"/>
  <c r="H12" i="4" l="1"/>
  <c r="G12" i="4"/>
  <c r="F12" i="4"/>
  <c r="C12" i="4"/>
  <c r="B12" i="4"/>
  <c r="D30" i="4" l="1"/>
  <c r="D28" i="4"/>
  <c r="D27" i="4"/>
  <c r="D26" i="4"/>
  <c r="D25" i="4"/>
  <c r="D24" i="4"/>
  <c r="D23" i="4"/>
  <c r="D22" i="4"/>
  <c r="D21" i="4"/>
  <c r="D20" i="4"/>
  <c r="D18" i="4"/>
  <c r="D16" i="4"/>
  <c r="D9" i="4"/>
  <c r="D8" i="4"/>
  <c r="D7" i="4"/>
  <c r="D6" i="4"/>
  <c r="D5" i="4"/>
  <c r="D4" i="4"/>
  <c r="C35" i="4"/>
  <c r="C42" i="4" s="1"/>
  <c r="F35" i="4"/>
  <c r="G35" i="4"/>
  <c r="H35" i="4"/>
  <c r="G37" i="4" l="1"/>
  <c r="G42" i="4"/>
  <c r="K39" i="4" s="1"/>
  <c r="K42" i="4" s="1"/>
  <c r="C37" i="4"/>
  <c r="D12" i="4"/>
  <c r="R39" i="4" l="1"/>
  <c r="R42" i="4" s="1"/>
  <c r="Q39" i="4"/>
  <c r="B19" i="4"/>
  <c r="D19" i="4" s="1"/>
  <c r="B17" i="4"/>
  <c r="U39" i="4" l="1"/>
  <c r="U42" i="4" s="1"/>
  <c r="X39" i="4" s="1"/>
  <c r="X42" i="4" s="1"/>
  <c r="T39" i="4"/>
  <c r="D17" i="4"/>
  <c r="B35" i="4"/>
  <c r="D35" i="4" s="1"/>
  <c r="AA39" i="4" l="1"/>
  <c r="AA42" i="4" s="1"/>
  <c r="AD39" i="4"/>
  <c r="L14" i="1"/>
  <c r="AB9" i="4" s="1"/>
  <c r="AD9" i="4" s="1"/>
  <c r="J14" i="1"/>
  <c r="I14" i="1"/>
  <c r="AB7" i="4" s="1"/>
  <c r="AD7" i="4" s="1"/>
  <c r="H14" i="1"/>
  <c r="E14" i="3" l="1"/>
  <c r="AB6" i="4"/>
  <c r="AD6" i="4" s="1"/>
  <c r="E13" i="3"/>
  <c r="AB8" i="4"/>
  <c r="AD8" i="4" s="1"/>
  <c r="E11" i="3"/>
  <c r="E9" i="3"/>
  <c r="G14" i="1"/>
  <c r="AB5" i="4" l="1"/>
  <c r="AD5" i="4" s="1"/>
  <c r="E10" i="3"/>
  <c r="F9" i="3"/>
  <c r="X81" i="1" l="1"/>
  <c r="AB26" i="4" s="1"/>
  <c r="AD26" i="4" s="1"/>
  <c r="AH26" i="4" s="1"/>
  <c r="E31" i="3" l="1"/>
  <c r="M81" i="1"/>
  <c r="AB23" i="4" s="1"/>
  <c r="AD23" i="4" s="1"/>
  <c r="AH23" i="4" s="1"/>
  <c r="L81" i="1"/>
  <c r="AB22" i="4" s="1"/>
  <c r="AD22" i="4" s="1"/>
  <c r="AH22" i="4" s="1"/>
  <c r="K81" i="1"/>
  <c r="AB21" i="4" s="1"/>
  <c r="AD21" i="4" s="1"/>
  <c r="I81" i="1"/>
  <c r="AB19" i="4" s="1"/>
  <c r="AD19" i="4" s="1"/>
  <c r="G81" i="1"/>
  <c r="N81" i="1"/>
  <c r="AB24" i="4" s="1"/>
  <c r="AD24" i="4" s="1"/>
  <c r="O81" i="1"/>
  <c r="AB25" i="4" s="1"/>
  <c r="AD25" i="4" l="1"/>
  <c r="AH25" i="4" s="1"/>
  <c r="AB17" i="4"/>
  <c r="AD17" i="4" s="1"/>
  <c r="AC35" i="4"/>
  <c r="E22" i="3"/>
  <c r="E28" i="3"/>
  <c r="E25" i="3"/>
  <c r="E26" i="3"/>
  <c r="E27" i="3"/>
  <c r="E29" i="3"/>
  <c r="B5" i="6" s="1"/>
  <c r="E24" i="3"/>
  <c r="E30" i="3"/>
  <c r="H81" i="1"/>
  <c r="AB18" i="4" s="1"/>
  <c r="AD18" i="4" s="1"/>
  <c r="E21" i="3" l="1"/>
  <c r="C16" i="3" l="1"/>
  <c r="F30" i="3"/>
  <c r="F29" i="3"/>
  <c r="F25" i="3"/>
  <c r="F27" i="3"/>
  <c r="F24" i="3"/>
  <c r="F22" i="3"/>
  <c r="F26" i="3"/>
  <c r="F10" i="3"/>
  <c r="F14" i="1"/>
  <c r="E14" i="1"/>
  <c r="E47" i="3" s="1"/>
  <c r="C47" i="3" l="1"/>
  <c r="C54" i="3" s="1"/>
  <c r="M14" i="1"/>
  <c r="AB4" i="4"/>
  <c r="AD4" i="4" s="1"/>
  <c r="AH4" i="4" s="1"/>
  <c r="AH12" i="4" s="1"/>
  <c r="F11" i="3"/>
  <c r="E8" i="3"/>
  <c r="F8" i="3" s="1"/>
  <c r="F28" i="3"/>
  <c r="F21" i="3"/>
  <c r="E45" i="3" l="1"/>
  <c r="D59" i="3"/>
  <c r="D61" i="3" s="1"/>
  <c r="AD12" i="4"/>
  <c r="AB12" i="4"/>
  <c r="E16" i="3"/>
  <c r="F16" i="3" s="1"/>
  <c r="J81" i="1" l="1"/>
  <c r="AB20" i="4" l="1"/>
  <c r="AD20" i="4" s="1"/>
  <c r="AH20" i="4" s="1"/>
  <c r="AH35" i="4" s="1"/>
  <c r="AH37" i="4" s="1"/>
  <c r="E81" i="1"/>
  <c r="E49" i="3" s="1"/>
  <c r="E54" i="3" s="1"/>
  <c r="E59" i="3" s="1"/>
  <c r="E61" i="3" s="1"/>
  <c r="E23" i="3"/>
  <c r="E40" i="3" s="1"/>
  <c r="Y81" i="1"/>
  <c r="AB35" i="4" l="1"/>
  <c r="F40" i="3"/>
  <c r="F23" i="3"/>
  <c r="AD35" i="4" l="1"/>
  <c r="AD37" i="4" l="1"/>
  <c r="Q35" i="4"/>
  <c r="AD41" i="4" l="1"/>
  <c r="AD42" i="4"/>
  <c r="AH39" i="4" s="1"/>
  <c r="Q37" i="4"/>
  <c r="Q42" i="4"/>
  <c r="AH42" i="4" l="1"/>
  <c r="AH41" i="4"/>
  <c r="G6" i="2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l="1"/>
  <c r="G63" i="2" s="1"/>
  <c r="G64" i="2" s="1"/>
  <c r="G65" i="2" s="1"/>
  <c r="G66" i="2" l="1"/>
  <c r="G67" i="2" s="1"/>
  <c r="G76" i="2" s="1"/>
</calcChain>
</file>

<file path=xl/sharedStrings.xml><?xml version="1.0" encoding="utf-8"?>
<sst xmlns="http://schemas.openxmlformats.org/spreadsheetml/2006/main" count="804" uniqueCount="329">
  <si>
    <t>Date</t>
  </si>
  <si>
    <t>Received from</t>
  </si>
  <si>
    <t>Particulars of receipt</t>
  </si>
  <si>
    <t>Total</t>
  </si>
  <si>
    <t>Precept</t>
  </si>
  <si>
    <t>Council Tax Support</t>
  </si>
  <si>
    <t>VAT reclaim</t>
  </si>
  <si>
    <t>Sponsorship &amp; Grants</t>
  </si>
  <si>
    <t>Expenditure</t>
  </si>
  <si>
    <t>to whom paid</t>
  </si>
  <si>
    <t>Particulars of payment</t>
  </si>
  <si>
    <t xml:space="preserve">Lengthsman </t>
  </si>
  <si>
    <t>Insurance</t>
  </si>
  <si>
    <t>Section 137</t>
  </si>
  <si>
    <t>Lengthsman</t>
  </si>
  <si>
    <t>Sheet No &amp; Statement date</t>
  </si>
  <si>
    <t>Pay in book / cheque book no.</t>
  </si>
  <si>
    <t>Received From / Paid to</t>
  </si>
  <si>
    <t>Details</t>
  </si>
  <si>
    <t>Balance</t>
  </si>
  <si>
    <t>N/A</t>
  </si>
  <si>
    <t>Year End Balance</t>
  </si>
  <si>
    <t>Smisby Parish Council</t>
  </si>
  <si>
    <t>Receipts</t>
  </si>
  <si>
    <t>£</t>
  </si>
  <si>
    <t>Grants and Donations</t>
  </si>
  <si>
    <t>Total Receipts</t>
  </si>
  <si>
    <t>Payments</t>
  </si>
  <si>
    <t>Newsletter</t>
  </si>
  <si>
    <t>Total Payments</t>
  </si>
  <si>
    <t>Receipts and Payments Summary</t>
  </si>
  <si>
    <t>These cumulative funds are represented by:</t>
  </si>
  <si>
    <t xml:space="preserve">Balance at </t>
  </si>
  <si>
    <t>Current account</t>
  </si>
  <si>
    <t xml:space="preserve">Balance </t>
  </si>
  <si>
    <t>and reflects the payments during the year.</t>
  </si>
  <si>
    <t>Signed</t>
  </si>
  <si>
    <t>Chairman</t>
  </si>
  <si>
    <t>Responsible Financial officer</t>
  </si>
  <si>
    <t>VAT</t>
  </si>
  <si>
    <t>PAYMENTS (outgoing)</t>
  </si>
  <si>
    <t>Concurrent expenses</t>
  </si>
  <si>
    <t>VAT on payments</t>
  </si>
  <si>
    <t>RECEIPTS (incoming)</t>
  </si>
  <si>
    <t>%</t>
  </si>
  <si>
    <t xml:space="preserve"> Change</t>
  </si>
  <si>
    <t>Audit</t>
  </si>
  <si>
    <t>Transactions cleared in bank account</t>
  </si>
  <si>
    <t>Concurrent
Expenses</t>
  </si>
  <si>
    <t>Training and Subscription</t>
  </si>
  <si>
    <t>Litterbin</t>
  </si>
  <si>
    <t>Income</t>
  </si>
  <si>
    <t>TOTAL</t>
  </si>
  <si>
    <t>VAT paid</t>
  </si>
  <si>
    <t>BACS/Cheq no</t>
  </si>
  <si>
    <t>BACS/Pay in book no</t>
  </si>
  <si>
    <t>Subscription and Training</t>
  </si>
  <si>
    <t>Councillor Name</t>
  </si>
  <si>
    <t>Councillor Signature</t>
  </si>
  <si>
    <t>_____________________________</t>
  </si>
  <si>
    <t>Variance to budget</t>
  </si>
  <si>
    <t>Litterbin Service</t>
  </si>
  <si>
    <t>Section 137 (donations such as poppy wreath)</t>
  </si>
  <si>
    <t>Sponsorship, Grants and Donations</t>
  </si>
  <si>
    <t>Defib expenses</t>
  </si>
  <si>
    <t>Previous years Concurrent Expenses</t>
  </si>
  <si>
    <t>2018 - 19</t>
  </si>
  <si>
    <t>Budget</t>
  </si>
  <si>
    <t>Actual Year End</t>
  </si>
  <si>
    <t>2019 - 20</t>
  </si>
  <si>
    <t>2020 - 21</t>
  </si>
  <si>
    <t>Forecast to Year End</t>
  </si>
  <si>
    <t>Forecast Total Year End</t>
  </si>
  <si>
    <t xml:space="preserve"> Budget</t>
  </si>
  <si>
    <t>Surplus/Defecit at year end</t>
  </si>
  <si>
    <t>Actual</t>
  </si>
  <si>
    <t>Newsletter Adverts</t>
  </si>
  <si>
    <t>Newsletter adverts</t>
  </si>
  <si>
    <t>Salary and HMRC payments</t>
  </si>
  <si>
    <t>Parish Clerk Salary and HMRC payments</t>
  </si>
  <si>
    <t>Defib Expenses</t>
  </si>
  <si>
    <t>Current day</t>
  </si>
  <si>
    <t>Parish clerk salary and HMRC payments</t>
  </si>
  <si>
    <t>Internal audit cost less as a smaller audit done due Covid restrictions, this will increase again next year</t>
  </si>
  <si>
    <t>Payrise given hence this has cost more than expected</t>
  </si>
  <si>
    <t>wreath bought last financial year, will increase again next year</t>
  </si>
  <si>
    <t>Balances brought forward</t>
  </si>
  <si>
    <t>Balances to carry forward (actual or predicted)</t>
  </si>
  <si>
    <t>Notes for 2020 - 21</t>
  </si>
  <si>
    <t>One more edition this year due</t>
  </si>
  <si>
    <t>Parish field rent still to pay</t>
  </si>
  <si>
    <t>Telephone Box</t>
  </si>
  <si>
    <t>Office Expenses</t>
  </si>
  <si>
    <t>Village Hall Hire/Zoom meeting</t>
  </si>
  <si>
    <t>Village Hall Hire/Zoon Meetings</t>
  </si>
  <si>
    <t>Electrical work still to pay for</t>
  </si>
  <si>
    <t>litter bin not paid for previous year or this year yet, chased SDDC for invoice</t>
  </si>
  <si>
    <t xml:space="preserve">Payments not cleared </t>
  </si>
  <si>
    <t>SPC Balance at start of financial year</t>
  </si>
  <si>
    <t>SPC Balance at financial year end</t>
  </si>
  <si>
    <t>less uncleared transactions as at year end</t>
  </si>
  <si>
    <t>Notes</t>
  </si>
  <si>
    <t>Actual to date</t>
  </si>
  <si>
    <t>Clerk Name</t>
  </si>
  <si>
    <t>Clerk Signature</t>
  </si>
  <si>
    <t>Transaction Date</t>
  </si>
  <si>
    <t xml:space="preserve">For </t>
  </si>
  <si>
    <t>To</t>
  </si>
  <si>
    <t>VAT charged</t>
  </si>
  <si>
    <t>VAT number</t>
  </si>
  <si>
    <t>Speedwatch</t>
  </si>
  <si>
    <t>Lockup Repairs</t>
  </si>
  <si>
    <t>Earmarked reserves for maintenance of Council assets</t>
  </si>
  <si>
    <t>2021 - 22</t>
  </si>
  <si>
    <t>Current</t>
  </si>
  <si>
    <t>Lockup repairs</t>
  </si>
  <si>
    <t>Miscellaneous refunds</t>
  </si>
  <si>
    <t>increase of £1000 across a council tax base of 123 properties</t>
  </si>
  <si>
    <t>Based on maximum amount allowed to claim</t>
  </si>
  <si>
    <t>Assume same rate as previous year</t>
  </si>
  <si>
    <t>Based on cheapest quote for grounds maintenance</t>
  </si>
  <si>
    <t>Unless specified all costs worked on 5% increase</t>
  </si>
  <si>
    <t>same as previous year</t>
  </si>
  <si>
    <t>12 monthly playground inspection £451.80
annual inspection £75
(Budget for repairs £1000 to go into capital allocations/earmarked reserves)</t>
  </si>
  <si>
    <t>2022-23</t>
  </si>
  <si>
    <t>SDDC</t>
  </si>
  <si>
    <t>Council Tax Support Grant</t>
  </si>
  <si>
    <t>Grounds maintenance</t>
  </si>
  <si>
    <t>Playground Inspections</t>
  </si>
  <si>
    <t xml:space="preserve">PCC reimbursement for extra grounds maintenance £644
Footpath grant from DCC of £495 - not applied for this year </t>
  </si>
  <si>
    <t>Footpath</t>
  </si>
  <si>
    <t>Play Area Inspections and repairs</t>
  </si>
  <si>
    <t xml:space="preserve">£1000 for playground equipment (amount is remaining from this reserve)
</t>
  </si>
  <si>
    <t>Field rent</t>
  </si>
  <si>
    <t>£113.40 clerk mileage, 6 meetings, 6 agendas, 2 audit at 18 miles each</t>
  </si>
  <si>
    <t>New councillor training</t>
  </si>
  <si>
    <t>possible new pads</t>
  </si>
  <si>
    <t>Assume this to be the last year this is received</t>
  </si>
  <si>
    <t>Based on a 5% increase on previous year</t>
  </si>
  <si>
    <t>VAT claimed back</t>
  </si>
  <si>
    <t>VAT to claim back</t>
  </si>
  <si>
    <t>to claim</t>
  </si>
  <si>
    <t>2024-25</t>
  </si>
  <si>
    <t>This has been agreed by the charity as £518.00 for 24-25</t>
  </si>
  <si>
    <t>Cancelled contract</t>
  </si>
  <si>
    <t>Year End Total 2024/2025</t>
  </si>
  <si>
    <t>2024/2025</t>
  </si>
  <si>
    <t>Current Account Cash Flow 2024/25</t>
  </si>
  <si>
    <t>Receipts &amp; payments and balance for year ending 31 March 2025</t>
  </si>
  <si>
    <t>31/03/2024 (previous financial year)</t>
  </si>
  <si>
    <t>Field Rent</t>
  </si>
  <si>
    <t>Grounds Maintenance</t>
  </si>
  <si>
    <t>General Reserves</t>
  </si>
  <si>
    <t>Opening balance</t>
  </si>
  <si>
    <t>Internet transfer</t>
  </si>
  <si>
    <t>Clerk</t>
  </si>
  <si>
    <t>Salary (March 2024)</t>
  </si>
  <si>
    <t>HMRC</t>
  </si>
  <si>
    <t>PAYE and NI</t>
  </si>
  <si>
    <t>DALC</t>
  </si>
  <si>
    <t>Annual subscription</t>
  </si>
  <si>
    <t>Shed Grounds Maintenance Ltd</t>
  </si>
  <si>
    <t>Amazon (via clerk)</t>
  </si>
  <si>
    <t>Stationary</t>
  </si>
  <si>
    <t>Amazon EU S.a.r.l. UK Branch</t>
  </si>
  <si>
    <t>Section 137 (4)(a) for 2024 25</t>
  </si>
  <si>
    <t>per elector</t>
  </si>
  <si>
    <t>electors advised by SDDC at time of precept details</t>
  </si>
  <si>
    <t>Total allowed for the year</t>
  </si>
  <si>
    <t>S137 spent this year</t>
  </si>
  <si>
    <t>Kilworth Machinery</t>
  </si>
  <si>
    <t>Newsletter advert</t>
  </si>
  <si>
    <t>Salary (April 2024)</t>
  </si>
  <si>
    <t>H Salt</t>
  </si>
  <si>
    <t>Lengthman</t>
  </si>
  <si>
    <t>Forecast Present Day to 31st March 2025</t>
  </si>
  <si>
    <t>Forecast Present Day to March 25</t>
  </si>
  <si>
    <t>Bluebell Arboretum</t>
  </si>
  <si>
    <t>Playground inspection and minor maintenance (March 24)</t>
  </si>
  <si>
    <t>Newsletter printing</t>
  </si>
  <si>
    <t>C J Lewis Ltd (via Councillor Taft)</t>
  </si>
  <si>
    <t>Audit mileage</t>
  </si>
  <si>
    <t>East Midlands Audit Services</t>
  </si>
  <si>
    <t>Internal Audit</t>
  </si>
  <si>
    <t>Playground inspection and minor maintenance (April)</t>
  </si>
  <si>
    <t>Clear Councils</t>
  </si>
  <si>
    <t>2023-24</t>
  </si>
  <si>
    <t xml:space="preserve"> </t>
  </si>
  <si>
    <t>Electronic Transfer</t>
  </si>
  <si>
    <t>Advert</t>
  </si>
  <si>
    <t>Precept and Council tax grant</t>
  </si>
  <si>
    <t>Clerk salary March 2024</t>
  </si>
  <si>
    <t>Sheds Grounds Maintenance</t>
  </si>
  <si>
    <t>Grounds Maintenance Fee</t>
  </si>
  <si>
    <t>Tax and NI</t>
  </si>
  <si>
    <t>Office expenses</t>
  </si>
  <si>
    <t>HP Inc UK Limited (via clerk)</t>
  </si>
  <si>
    <t>Laptop</t>
  </si>
  <si>
    <t>HP Inc UK Limited</t>
  </si>
  <si>
    <t>Salary (May 2024)</t>
  </si>
  <si>
    <t>£200 New bin for the playground</t>
  </si>
  <si>
    <t>The Parochial Charity</t>
  </si>
  <si>
    <t>Jubilee Field Rent</t>
  </si>
  <si>
    <t>Salary (June 2024)</t>
  </si>
  <si>
    <t>Annual playground inspection, Playground inspection and minor maintenance (May)</t>
  </si>
  <si>
    <t>The Defibpad (via volunteer)</t>
  </si>
  <si>
    <t>Defibrillator pads</t>
  </si>
  <si>
    <t>The Defib Pad</t>
  </si>
  <si>
    <t>Grounds maintenance inv28107 1st payment</t>
  </si>
  <si>
    <t>Grounds maintenance inv28568 2nd payment</t>
  </si>
  <si>
    <t>Grounds maintenance inv28836 3rd payment</t>
  </si>
  <si>
    <t>Grounds maintenance inv29134 4th payment</t>
  </si>
  <si>
    <t>Grounds maintenance inv29392 5th payment</t>
  </si>
  <si>
    <t>Microsoft (via clerk)</t>
  </si>
  <si>
    <t>Microsoft 365</t>
  </si>
  <si>
    <t>Salary (July 2024)</t>
  </si>
  <si>
    <t>Playground inspection and minor maintenance (july)</t>
  </si>
  <si>
    <t>29th March 2024 - 1st May 2024</t>
  </si>
  <si>
    <t>1st June 2024 - 1st July 2024</t>
  </si>
  <si>
    <t>2nd May 2024 - 31st May 2024</t>
  </si>
  <si>
    <t>Playground inspection and minor maintenance (June)</t>
  </si>
  <si>
    <t>L South</t>
  </si>
  <si>
    <t>Webpages</t>
  </si>
  <si>
    <t>Direct Debit</t>
  </si>
  <si>
    <t>ICO Renewal</t>
  </si>
  <si>
    <t xml:space="preserve">Precept </t>
  </si>
  <si>
    <t>2nd July 2024 - 1st August 2024</t>
  </si>
  <si>
    <t>Information Commissioner's Office</t>
  </si>
  <si>
    <t>Playground inspection and minor maintenance (August)</t>
  </si>
  <si>
    <t>Salary (August 2024)</t>
  </si>
  <si>
    <t>Grounds maintenance inv29682 6th payment</t>
  </si>
  <si>
    <t>Microsoft Ireland Operations Limited</t>
  </si>
  <si>
    <t>365</t>
  </si>
  <si>
    <t>Grounds maintenance inv29995 7th payment</t>
  </si>
  <si>
    <t>Grounds maintenance inv29682</t>
  </si>
  <si>
    <t>Website</t>
  </si>
  <si>
    <t>Playground inspection and minor maintenance (July)</t>
  </si>
  <si>
    <t>Postage</t>
  </si>
  <si>
    <t>Royal Mail (via clerk)</t>
  </si>
  <si>
    <t>Salary (September 2024)</t>
  </si>
  <si>
    <t>Playground inspection and minor maintenance (September)</t>
  </si>
  <si>
    <t>9 miles</t>
  </si>
  <si>
    <t>there and back</t>
  </si>
  <si>
    <t>6 meetings, one audit is 7 trips</t>
  </si>
  <si>
    <t>mileage for clerk by end of year</t>
  </si>
  <si>
    <t>Royal British Legion (via clerk)</t>
  </si>
  <si>
    <t>Wreath</t>
  </si>
  <si>
    <t>Smisby Parochial Charity</t>
  </si>
  <si>
    <t>Jubilee Field Maintenance</t>
  </si>
  <si>
    <t>Grounds maintenance inv30284 8th payment</t>
  </si>
  <si>
    <t>Cheque/100204</t>
  </si>
  <si>
    <t>VAT refund</t>
  </si>
  <si>
    <t>Salary (October 2024)</t>
  </si>
  <si>
    <t>Playground inspection and minor maintenance (October)</t>
  </si>
  <si>
    <t>Folder</t>
  </si>
  <si>
    <t>Poppy wreath</t>
  </si>
  <si>
    <t>Grounds maintenance inv30563 9th payment</t>
  </si>
  <si>
    <t>2nd August 2024 - 30th August 2024</t>
  </si>
  <si>
    <t>Printer ink</t>
  </si>
  <si>
    <t>Cartrige People</t>
  </si>
  <si>
    <t>Cartridge People (via clerk)</t>
  </si>
  <si>
    <t>31st August 2024 - 1st October 2024</t>
  </si>
  <si>
    <t>Grounds maintenance inv29995</t>
  </si>
  <si>
    <t>ICO</t>
  </si>
  <si>
    <t>ICO renewal</t>
  </si>
  <si>
    <t>Cheque in</t>
  </si>
  <si>
    <t>Parochial Charity</t>
  </si>
  <si>
    <t>Jubilee Field grounds maintenance grant</t>
  </si>
  <si>
    <t>Grounds maintenance inv30284</t>
  </si>
  <si>
    <t>2nd October 2024 - 1st November 2024</t>
  </si>
  <si>
    <t>Playground and minor maintenance (September)</t>
  </si>
  <si>
    <t>Salary (November 2024)</t>
  </si>
  <si>
    <t>Playground inspection and minor maintenance (November)</t>
  </si>
  <si>
    <t>This will no longer be received after 2024-25</t>
  </si>
  <si>
    <t>Estimated</t>
  </si>
  <si>
    <t>Assume same as previous year</t>
  </si>
  <si>
    <t>Assume same as previous year to cover extra maintenance on field</t>
  </si>
  <si>
    <t>Salary (December 2024)</t>
  </si>
  <si>
    <t>Playground inspection and minor maintenance (December)</t>
  </si>
  <si>
    <t>McAfee (via clerk)</t>
  </si>
  <si>
    <t>Anti-virus software</t>
  </si>
  <si>
    <t>2nd November 2024 - 29th November 2024</t>
  </si>
  <si>
    <t>Parochial Charity have agreed to pay for newsletters</t>
  </si>
  <si>
    <t>30th November 2024 - 31st December 2024</t>
  </si>
  <si>
    <t>Play Area Inspections</t>
  </si>
  <si>
    <t>Forecast Total Year End 31st March 2025</t>
  </si>
  <si>
    <t>Budget Proposal 2025 - 26</t>
  </si>
  <si>
    <t>Based on Shed Grounds Maintenance quote, which includes pinfold maintenance too</t>
  </si>
  <si>
    <t>withdraw anything from service that is at too much risk</t>
  </si>
  <si>
    <t>Salary (January 2025)</t>
  </si>
  <si>
    <t>Playground inspection and minor maintenance (January)</t>
  </si>
  <si>
    <t>£500 from earmarked reserves for laptop added into budget
mileage claim march 2025</t>
  </si>
  <si>
    <t>Grounds maintenance 1st payment</t>
  </si>
  <si>
    <t>Playground inspections March 2024</t>
  </si>
  <si>
    <t>Grounds maintenance 2nd payment</t>
  </si>
  <si>
    <t>Playground inspections April 2024</t>
  </si>
  <si>
    <t>Grounds maintenance 3rd payment</t>
  </si>
  <si>
    <t>Grounds maintenance 4th payment</t>
  </si>
  <si>
    <t>Grounds maintenance 5th payment</t>
  </si>
  <si>
    <t>Playground inspections April Annual and May 2024</t>
  </si>
  <si>
    <t>Playground inspections June 2024</t>
  </si>
  <si>
    <t>Grounds maintenance 6th payment</t>
  </si>
  <si>
    <t>Playground inspections July 2024</t>
  </si>
  <si>
    <t>Grounds maintenance 7th payment</t>
  </si>
  <si>
    <t>Playground inspections August 2024</t>
  </si>
  <si>
    <t>Grounds maintenance 8th payment</t>
  </si>
  <si>
    <t>Playground inspections September 2024</t>
  </si>
  <si>
    <t>Grounds maintenance 9th payment</t>
  </si>
  <si>
    <t>Playground inspections October 2024</t>
  </si>
  <si>
    <t>Playground inspections November 2024</t>
  </si>
  <si>
    <t>Playground inspections December 2024</t>
  </si>
  <si>
    <t>Playground inspections January 2025</t>
  </si>
  <si>
    <t>claimed</t>
  </si>
  <si>
    <t>7 % increase</t>
  </si>
  <si>
    <t>All Councillors agreed to increase this to £400.  Clerk to write to lengthsman to advise that the payments will go to £66.67 six times per year</t>
  </si>
  <si>
    <t>For any maintenance needed</t>
  </si>
  <si>
    <t>work on war memorial  £2000
work on pinfold restoration £1000</t>
  </si>
  <si>
    <t>Predicted general reserve, this figure may alter with the end of year balance</t>
  </si>
  <si>
    <t>Salary (February 2025)</t>
  </si>
  <si>
    <t>Playground inspection and minor maintenance (February)</t>
  </si>
  <si>
    <t>Mileage 2024 25</t>
  </si>
  <si>
    <t>Clerk training</t>
  </si>
  <si>
    <t>Concurrent Expenses</t>
  </si>
  <si>
    <t>1st January 2025 - 31st January 2025</t>
  </si>
  <si>
    <t>Will reclaim in 2025 26 year</t>
  </si>
  <si>
    <t>Paid under delegated authority to the Chairman and Clerk</t>
  </si>
  <si>
    <t>1st February 2025 - 28th February 2025</t>
  </si>
  <si>
    <t>1st March - 31st March 2025</t>
  </si>
  <si>
    <t>A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</si>
</sst>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£&quot;#,##0.00;[Red]\-&quot;£&quot;#,##0.00"/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#,##0.00;\(#,##0.00\)"/>
    <numFmt numFmtId="167" formatCode="0.0%"/>
    <numFmt numFmtId="168" formatCode="&quot;£&quot;#,##0.00"/>
    <numFmt numFmtId="169" formatCode="dd/mm/yy;@"/>
    <numFmt numFmtId="170" formatCode="dd/mm/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Comic Sans MS"/>
      <family val="4"/>
    </font>
    <font>
      <sz val="10"/>
      <color rgb="FFFF0000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3" tint="-0.249977111117893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/>
  </cellStyleXfs>
  <cellXfs count="290">
    <xf numFmtId="0" fontId="0" fillId="0" borderId="0" xfId="0"/>
    <xf numFmtId="0" fontId="3" fillId="2" borderId="1" xfId="0" applyFont="1" applyFill="1" applyBorder="1" applyAlignment="1">
      <alignment wrapText="1"/>
    </xf>
    <xf numFmtId="0" fontId="4" fillId="3" borderId="1" xfId="0" applyFont="1" applyFill="1" applyBorder="1"/>
    <xf numFmtId="164" fontId="5" fillId="0" borderId="1" xfId="0" applyNumberFormat="1" applyFont="1" applyBorder="1"/>
    <xf numFmtId="0" fontId="4" fillId="0" borderId="0" xfId="0" applyFont="1"/>
    <xf numFmtId="164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8" xfId="0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166" fontId="3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164" fontId="4" fillId="0" borderId="0" xfId="0" applyNumberFormat="1" applyFont="1"/>
    <xf numFmtId="0" fontId="7" fillId="0" borderId="0" xfId="4"/>
    <xf numFmtId="0" fontId="8" fillId="0" borderId="0" xfId="4" quotePrefix="1" applyFont="1" applyAlignment="1">
      <alignment horizontal="left"/>
    </xf>
    <xf numFmtId="0" fontId="9" fillId="0" borderId="0" xfId="4" applyFont="1" applyAlignment="1">
      <alignment horizontal="left" wrapText="1"/>
    </xf>
    <xf numFmtId="0" fontId="10" fillId="0" borderId="0" xfId="4" applyFont="1"/>
    <xf numFmtId="0" fontId="11" fillId="0" borderId="0" xfId="4" applyFont="1"/>
    <xf numFmtId="0" fontId="12" fillId="0" borderId="0" xfId="4" applyFont="1"/>
    <xf numFmtId="0" fontId="3" fillId="0" borderId="1" xfId="4" applyFont="1" applyBorder="1"/>
    <xf numFmtId="0" fontId="7" fillId="0" borderId="1" xfId="4" applyBorder="1"/>
    <xf numFmtId="164" fontId="7" fillId="0" borderId="1" xfId="2" applyNumberFormat="1" applyFont="1" applyBorder="1"/>
    <xf numFmtId="9" fontId="7" fillId="0" borderId="0" xfId="2" applyFont="1"/>
    <xf numFmtId="164" fontId="7" fillId="0" borderId="1" xfId="4" applyNumberFormat="1" applyBorder="1"/>
    <xf numFmtId="164" fontId="7" fillId="0" borderId="1" xfId="0" applyNumberFormat="1" applyFont="1" applyBorder="1"/>
    <xf numFmtId="0" fontId="13" fillId="0" borderId="0" xfId="0" applyFont="1"/>
    <xf numFmtId="0" fontId="3" fillId="0" borderId="0" xfId="4" applyFont="1"/>
    <xf numFmtId="165" fontId="7" fillId="0" borderId="0" xfId="4" applyNumberFormat="1"/>
    <xf numFmtId="0" fontId="14" fillId="0" borderId="0" xfId="4" applyFont="1"/>
    <xf numFmtId="164" fontId="7" fillId="0" borderId="1" xfId="1" applyNumberFormat="1" applyFont="1" applyBorder="1"/>
    <xf numFmtId="164" fontId="3" fillId="0" borderId="1" xfId="4" applyNumberFormat="1" applyFont="1" applyBorder="1"/>
    <xf numFmtId="0" fontId="7" fillId="0" borderId="14" xfId="4" applyBorder="1"/>
    <xf numFmtId="0" fontId="7" fillId="0" borderId="0" xfId="4" applyAlignment="1">
      <alignment horizontal="left"/>
    </xf>
    <xf numFmtId="0" fontId="7" fillId="0" borderId="14" xfId="4" applyBorder="1" applyAlignment="1">
      <alignment horizontal="left"/>
    </xf>
    <xf numFmtId="0" fontId="7" fillId="0" borderId="0" xfId="4" applyAlignment="1">
      <alignment horizontal="left" wrapText="1"/>
    </xf>
    <xf numFmtId="0" fontId="7" fillId="0" borderId="0" xfId="0" applyFont="1"/>
    <xf numFmtId="15" fontId="3" fillId="7" borderId="1" xfId="4" applyNumberFormat="1" applyFont="1" applyFill="1" applyBorder="1"/>
    <xf numFmtId="15" fontId="3" fillId="7" borderId="1" xfId="4" applyNumberFormat="1" applyFont="1" applyFill="1" applyBorder="1" applyAlignment="1">
      <alignment horizontal="left"/>
    </xf>
    <xf numFmtId="0" fontId="3" fillId="7" borderId="1" xfId="4" applyFont="1" applyFill="1" applyBorder="1" applyAlignment="1">
      <alignment horizontal="left"/>
    </xf>
    <xf numFmtId="0" fontId="3" fillId="7" borderId="5" xfId="4" applyFont="1" applyFill="1" applyBorder="1" applyAlignment="1">
      <alignment horizontal="left"/>
    </xf>
    <xf numFmtId="0" fontId="3" fillId="7" borderId="13" xfId="4" applyFont="1" applyFill="1" applyBorder="1" applyAlignment="1">
      <alignment horizontal="left"/>
    </xf>
    <xf numFmtId="0" fontId="3" fillId="7" borderId="15" xfId="4" applyFont="1" applyFill="1" applyBorder="1" applyAlignment="1">
      <alignment horizontal="left"/>
    </xf>
    <xf numFmtId="0" fontId="3" fillId="7" borderId="16" xfId="4" applyFont="1" applyFill="1" applyBorder="1" applyAlignment="1">
      <alignment horizontal="left"/>
    </xf>
    <xf numFmtId="0" fontId="3" fillId="7" borderId="17" xfId="4" applyFont="1" applyFill="1" applyBorder="1" applyAlignment="1">
      <alignment horizontal="left"/>
    </xf>
    <xf numFmtId="164" fontId="7" fillId="0" borderId="18" xfId="4" applyNumberFormat="1" applyBorder="1"/>
    <xf numFmtId="167" fontId="7" fillId="0" borderId="17" xfId="2" applyNumberFormat="1" applyFont="1" applyBorder="1"/>
    <xf numFmtId="164" fontId="3" fillId="0" borderId="19" xfId="4" applyNumberFormat="1" applyFont="1" applyBorder="1"/>
    <xf numFmtId="0" fontId="3" fillId="0" borderId="12" xfId="4" applyFont="1" applyBorder="1"/>
    <xf numFmtId="164" fontId="3" fillId="0" borderId="12" xfId="4" applyNumberFormat="1" applyFont="1" applyBorder="1"/>
    <xf numFmtId="167" fontId="7" fillId="0" borderId="20" xfId="2" applyNumberFormat="1" applyFont="1" applyBorder="1"/>
    <xf numFmtId="164" fontId="7" fillId="0" borderId="1" xfId="0" applyNumberFormat="1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17" fillId="2" borderId="1" xfId="0" applyFont="1" applyFill="1" applyBorder="1"/>
    <xf numFmtId="0" fontId="17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vertical="top" wrapText="1"/>
    </xf>
    <xf numFmtId="0" fontId="19" fillId="3" borderId="1" xfId="0" applyFont="1" applyFill="1" applyBorder="1"/>
    <xf numFmtId="164" fontId="20" fillId="0" borderId="1" xfId="0" applyNumberFormat="1" applyFont="1" applyBorder="1"/>
    <xf numFmtId="164" fontId="19" fillId="0" borderId="1" xfId="0" applyNumberFormat="1" applyFont="1" applyBorder="1"/>
    <xf numFmtId="164" fontId="16" fillId="0" borderId="1" xfId="0" applyNumberFormat="1" applyFont="1" applyBorder="1"/>
    <xf numFmtId="16" fontId="19" fillId="0" borderId="0" xfId="0" applyNumberFormat="1" applyFont="1"/>
    <xf numFmtId="0" fontId="19" fillId="0" borderId="0" xfId="0" applyFont="1"/>
    <xf numFmtId="0" fontId="19" fillId="0" borderId="2" xfId="0" applyFont="1" applyBorder="1"/>
    <xf numFmtId="164" fontId="19" fillId="0" borderId="2" xfId="0" applyNumberFormat="1" applyFont="1" applyBorder="1"/>
    <xf numFmtId="164" fontId="16" fillId="0" borderId="2" xfId="0" applyNumberFormat="1" applyFont="1" applyBorder="1"/>
    <xf numFmtId="164" fontId="21" fillId="0" borderId="1" xfId="0" applyNumberFormat="1" applyFont="1" applyBorder="1"/>
    <xf numFmtId="0" fontId="16" fillId="3" borderId="0" xfId="0" applyFont="1" applyFill="1"/>
    <xf numFmtId="0" fontId="22" fillId="2" borderId="1" xfId="0" applyFont="1" applyFill="1" applyBorder="1" applyAlignment="1">
      <alignment horizontal="left" wrapText="1" indent="1"/>
    </xf>
    <xf numFmtId="0" fontId="22" fillId="2" borderId="1" xfId="0" applyFont="1" applyFill="1" applyBorder="1" applyAlignment="1">
      <alignment wrapText="1"/>
    </xf>
    <xf numFmtId="0" fontId="19" fillId="3" borderId="0" xfId="0" applyFont="1" applyFill="1"/>
    <xf numFmtId="164" fontId="16" fillId="0" borderId="0" xfId="0" applyNumberFormat="1" applyFont="1"/>
    <xf numFmtId="0" fontId="16" fillId="0" borderId="1" xfId="0" applyFont="1" applyBorder="1"/>
    <xf numFmtId="164" fontId="23" fillId="0" borderId="0" xfId="0" applyNumberFormat="1" applyFont="1"/>
    <xf numFmtId="164" fontId="23" fillId="0" borderId="0" xfId="0" quotePrefix="1" applyNumberFormat="1" applyFont="1"/>
    <xf numFmtId="0" fontId="4" fillId="0" borderId="1" xfId="0" applyFont="1" applyBorder="1"/>
    <xf numFmtId="0" fontId="2" fillId="0" borderId="0" xfId="0" applyFont="1"/>
    <xf numFmtId="0" fontId="6" fillId="0" borderId="1" xfId="0" applyFont="1" applyBorder="1"/>
    <xf numFmtId="168" fontId="0" fillId="0" borderId="2" xfId="0" applyNumberFormat="1" applyBorder="1"/>
    <xf numFmtId="168" fontId="0" fillId="0" borderId="0" xfId="0" applyNumberFormat="1"/>
    <xf numFmtId="168" fontId="3" fillId="2" borderId="1" xfId="0" applyNumberFormat="1" applyFont="1" applyFill="1" applyBorder="1" applyAlignment="1">
      <alignment vertical="center" wrapText="1"/>
    </xf>
    <xf numFmtId="168" fontId="4" fillId="3" borderId="1" xfId="0" applyNumberFormat="1" applyFont="1" applyFill="1" applyBorder="1"/>
    <xf numFmtId="169" fontId="0" fillId="0" borderId="2" xfId="0" applyNumberFormat="1" applyBorder="1"/>
    <xf numFmtId="169" fontId="0" fillId="0" borderId="0" xfId="0" applyNumberFormat="1"/>
    <xf numFmtId="169" fontId="3" fillId="2" borderId="1" xfId="0" applyNumberFormat="1" applyFont="1" applyFill="1" applyBorder="1" applyAlignment="1">
      <alignment vertical="center" wrapText="1"/>
    </xf>
    <xf numFmtId="169" fontId="4" fillId="3" borderId="1" xfId="0" applyNumberFormat="1" applyFont="1" applyFill="1" applyBorder="1"/>
    <xf numFmtId="0" fontId="16" fillId="3" borderId="1" xfId="0" applyFont="1" applyFill="1" applyBorder="1"/>
    <xf numFmtId="164" fontId="16" fillId="3" borderId="1" xfId="0" applyNumberFormat="1" applyFont="1" applyFill="1" applyBorder="1"/>
    <xf numFmtId="0" fontId="7" fillId="0" borderId="22" xfId="4" applyBorder="1"/>
    <xf numFmtId="167" fontId="7" fillId="0" borderId="23" xfId="2" applyNumberFormat="1" applyFont="1" applyBorder="1"/>
    <xf numFmtId="164" fontId="7" fillId="0" borderId="0" xfId="4" applyNumberFormat="1"/>
    <xf numFmtId="0" fontId="5" fillId="0" borderId="1" xfId="0" applyFont="1" applyBorder="1"/>
    <xf numFmtId="168" fontId="5" fillId="0" borderId="1" xfId="0" applyNumberFormat="1" applyFont="1" applyBorder="1"/>
    <xf numFmtId="0" fontId="3" fillId="2" borderId="1" xfId="0" applyFont="1" applyFill="1" applyBorder="1" applyAlignment="1">
      <alignment vertical="top" wrapText="1"/>
    </xf>
    <xf numFmtId="0" fontId="25" fillId="0" borderId="0" xfId="0" applyFont="1"/>
    <xf numFmtId="2" fontId="25" fillId="0" borderId="1" xfId="0" applyNumberFormat="1" applyFont="1" applyBorder="1"/>
    <xf numFmtId="2" fontId="25" fillId="0" borderId="12" xfId="0" applyNumberFormat="1" applyFont="1" applyBorder="1"/>
    <xf numFmtId="164" fontId="7" fillId="0" borderId="1" xfId="2" applyNumberFormat="1" applyFont="1" applyFill="1" applyBorder="1"/>
    <xf numFmtId="0" fontId="16" fillId="0" borderId="7" xfId="0" applyFont="1" applyBorder="1"/>
    <xf numFmtId="168" fontId="5" fillId="0" borderId="0" xfId="0" applyNumberFormat="1" applyFont="1" applyAlignment="1">
      <alignment wrapText="1"/>
    </xf>
    <xf numFmtId="14" fontId="4" fillId="0" borderId="1" xfId="0" applyNumberFormat="1" applyFont="1" applyBorder="1"/>
    <xf numFmtId="164" fontId="5" fillId="0" borderId="0" xfId="0" applyNumberFormat="1" applyFont="1"/>
    <xf numFmtId="2" fontId="25" fillId="0" borderId="4" xfId="0" applyNumberFormat="1" applyFont="1" applyBorder="1"/>
    <xf numFmtId="2" fontId="25" fillId="0" borderId="25" xfId="0" applyNumberFormat="1" applyFont="1" applyBorder="1"/>
    <xf numFmtId="0" fontId="26" fillId="0" borderId="24" xfId="0" applyFont="1" applyBorder="1"/>
    <xf numFmtId="0" fontId="25" fillId="0" borderId="24" xfId="0" applyFont="1" applyBorder="1"/>
    <xf numFmtId="0" fontId="25" fillId="0" borderId="26" xfId="0" applyFont="1" applyBorder="1"/>
    <xf numFmtId="2" fontId="25" fillId="0" borderId="26" xfId="0" applyNumberFormat="1" applyFont="1" applyBorder="1"/>
    <xf numFmtId="2" fontId="25" fillId="0" borderId="27" xfId="0" applyNumberFormat="1" applyFont="1" applyBorder="1"/>
    <xf numFmtId="0" fontId="3" fillId="7" borderId="1" xfId="4" applyFont="1" applyFill="1" applyBorder="1" applyAlignment="1">
      <alignment horizontal="center"/>
    </xf>
    <xf numFmtId="0" fontId="7" fillId="0" borderId="1" xfId="4" applyBorder="1" applyAlignment="1">
      <alignment horizontal="center"/>
    </xf>
    <xf numFmtId="164" fontId="3" fillId="0" borderId="0" xfId="4" applyNumberFormat="1" applyFont="1"/>
    <xf numFmtId="164" fontId="25" fillId="0" borderId="0" xfId="0" applyNumberFormat="1" applyFont="1" applyAlignment="1">
      <alignment horizontal="left" vertical="top"/>
    </xf>
    <xf numFmtId="0" fontId="25" fillId="0" borderId="0" xfId="0" applyFont="1" applyAlignment="1">
      <alignment horizontal="left" vertical="top"/>
    </xf>
    <xf numFmtId="2" fontId="25" fillId="0" borderId="1" xfId="0" applyNumberFormat="1" applyFont="1" applyBorder="1" applyAlignment="1">
      <alignment wrapText="1"/>
    </xf>
    <xf numFmtId="2" fontId="25" fillId="0" borderId="6" xfId="0" applyNumberFormat="1" applyFont="1" applyBorder="1"/>
    <xf numFmtId="2" fontId="25" fillId="0" borderId="5" xfId="0" applyNumberFormat="1" applyFont="1" applyBorder="1"/>
    <xf numFmtId="4" fontId="25" fillId="0" borderId="28" xfId="0" applyNumberFormat="1" applyFont="1" applyBorder="1"/>
    <xf numFmtId="4" fontId="26" fillId="0" borderId="0" xfId="0" applyNumberFormat="1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wrapText="1"/>
    </xf>
    <xf numFmtId="4" fontId="25" fillId="0" borderId="29" xfId="0" applyNumberFormat="1" applyFont="1" applyBorder="1"/>
    <xf numFmtId="2" fontId="25" fillId="10" borderId="0" xfId="0" applyNumberFormat="1" applyFont="1" applyFill="1"/>
    <xf numFmtId="0" fontId="0" fillId="10" borderId="0" xfId="0" applyFill="1" applyAlignment="1">
      <alignment horizontal="center"/>
    </xf>
    <xf numFmtId="0" fontId="0" fillId="0" borderId="0" xfId="0" applyAlignment="1">
      <alignment wrapText="1"/>
    </xf>
    <xf numFmtId="2" fontId="0" fillId="10" borderId="0" xfId="0" applyNumberFormat="1" applyFill="1"/>
    <xf numFmtId="2" fontId="0" fillId="0" borderId="1" xfId="0" applyNumberFormat="1" applyBorder="1"/>
    <xf numFmtId="2" fontId="0" fillId="0" borderId="0" xfId="0" applyNumberFormat="1"/>
    <xf numFmtId="0" fontId="0" fillId="0" borderId="24" xfId="0" applyBorder="1"/>
    <xf numFmtId="0" fontId="0" fillId="10" borderId="0" xfId="0" applyFill="1"/>
    <xf numFmtId="4" fontId="0" fillId="0" borderId="24" xfId="0" applyNumberFormat="1" applyBorder="1"/>
    <xf numFmtId="4" fontId="0" fillId="0" borderId="0" xfId="0" applyNumberFormat="1"/>
    <xf numFmtId="4" fontId="0" fillId="0" borderId="8" xfId="0" applyNumberFormat="1" applyBorder="1"/>
    <xf numFmtId="4" fontId="0" fillId="10" borderId="0" xfId="0" applyNumberFormat="1" applyFill="1"/>
    <xf numFmtId="0" fontId="28" fillId="0" borderId="26" xfId="0" applyFont="1" applyBorder="1" applyAlignment="1">
      <alignment wrapText="1"/>
    </xf>
    <xf numFmtId="0" fontId="28" fillId="0" borderId="6" xfId="0" applyFont="1" applyBorder="1" applyAlignment="1">
      <alignment wrapText="1"/>
    </xf>
    <xf numFmtId="0" fontId="28" fillId="0" borderId="1" xfId="0" applyFont="1" applyBorder="1" applyAlignment="1">
      <alignment wrapText="1"/>
    </xf>
    <xf numFmtId="0" fontId="28" fillId="0" borderId="4" xfId="0" applyFont="1" applyBorder="1" applyAlignment="1">
      <alignment wrapText="1"/>
    </xf>
    <xf numFmtId="0" fontId="28" fillId="0" borderId="26" xfId="0" applyFont="1" applyBorder="1" applyAlignment="1">
      <alignment vertical="top" wrapText="1"/>
    </xf>
    <xf numFmtId="0" fontId="28" fillId="0" borderId="6" xfId="0" applyFont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0" fontId="28" fillId="0" borderId="24" xfId="0" applyFont="1" applyBorder="1" applyAlignment="1">
      <alignment wrapText="1"/>
    </xf>
    <xf numFmtId="0" fontId="29" fillId="0" borderId="0" xfId="0" applyFont="1" applyAlignment="1">
      <alignment wrapText="1"/>
    </xf>
    <xf numFmtId="2" fontId="28" fillId="9" borderId="8" xfId="0" applyNumberFormat="1" applyFont="1" applyFill="1" applyBorder="1" applyAlignment="1">
      <alignment wrapText="1"/>
    </xf>
    <xf numFmtId="2" fontId="28" fillId="4" borderId="0" xfId="0" applyNumberFormat="1" applyFont="1" applyFill="1" applyAlignment="1">
      <alignment wrapText="1"/>
    </xf>
    <xf numFmtId="0" fontId="25" fillId="0" borderId="26" xfId="0" applyFont="1" applyBorder="1" applyAlignment="1">
      <alignment wrapText="1"/>
    </xf>
    <xf numFmtId="2" fontId="25" fillId="0" borderId="4" xfId="0" applyNumberFormat="1" applyFont="1" applyBorder="1" applyAlignment="1">
      <alignment wrapText="1"/>
    </xf>
    <xf numFmtId="2" fontId="25" fillId="10" borderId="0" xfId="0" applyNumberFormat="1" applyFont="1" applyFill="1" applyAlignment="1">
      <alignment wrapText="1"/>
    </xf>
    <xf numFmtId="2" fontId="25" fillId="0" borderId="26" xfId="0" applyNumberFormat="1" applyFont="1" applyBorder="1" applyAlignment="1">
      <alignment wrapText="1"/>
    </xf>
    <xf numFmtId="15" fontId="3" fillId="7" borderId="1" xfId="4" applyNumberFormat="1" applyFont="1" applyFill="1" applyBorder="1" applyAlignment="1">
      <alignment wrapText="1"/>
    </xf>
    <xf numFmtId="0" fontId="2" fillId="0" borderId="9" xfId="0" applyFont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4" fillId="0" borderId="6" xfId="0" applyFont="1" applyBorder="1"/>
    <xf numFmtId="0" fontId="0" fillId="0" borderId="6" xfId="0" applyBorder="1"/>
    <xf numFmtId="14" fontId="3" fillId="7" borderId="1" xfId="4" applyNumberFormat="1" applyFont="1" applyFill="1" applyBorder="1"/>
    <xf numFmtId="2" fontId="27" fillId="4" borderId="0" xfId="0" applyNumberFormat="1" applyFont="1" applyFill="1"/>
    <xf numFmtId="164" fontId="7" fillId="0" borderId="22" xfId="0" applyNumberFormat="1" applyFont="1" applyBorder="1"/>
    <xf numFmtId="0" fontId="4" fillId="0" borderId="1" xfId="0" applyFont="1" applyBorder="1" applyAlignment="1">
      <alignment horizontal="left" wrapText="1"/>
    </xf>
    <xf numFmtId="0" fontId="6" fillId="3" borderId="1" xfId="0" applyFont="1" applyFill="1" applyBorder="1" applyAlignment="1">
      <alignment horizontal="left" vertical="top"/>
    </xf>
    <xf numFmtId="2" fontId="0" fillId="0" borderId="4" xfId="0" applyNumberFormat="1" applyBorder="1"/>
    <xf numFmtId="2" fontId="0" fillId="0" borderId="0" xfId="0" applyNumberFormat="1" applyAlignment="1">
      <alignment wrapText="1"/>
    </xf>
    <xf numFmtId="2" fontId="0" fillId="0" borderId="10" xfId="0" applyNumberFormat="1" applyBorder="1"/>
    <xf numFmtId="2" fontId="27" fillId="0" borderId="0" xfId="0" applyNumberFormat="1" applyFont="1"/>
    <xf numFmtId="2" fontId="0" fillId="4" borderId="0" xfId="0" applyNumberFormat="1" applyFill="1"/>
    <xf numFmtId="4" fontId="0" fillId="0" borderId="0" xfId="0" applyNumberFormat="1" applyAlignment="1">
      <alignment wrapText="1"/>
    </xf>
    <xf numFmtId="4" fontId="25" fillId="0" borderId="0" xfId="0" applyNumberFormat="1" applyFont="1"/>
    <xf numFmtId="2" fontId="25" fillId="0" borderId="0" xfId="0" applyNumberFormat="1" applyFont="1"/>
    <xf numFmtId="14" fontId="0" fillId="0" borderId="0" xfId="0" applyNumberFormat="1"/>
    <xf numFmtId="0" fontId="28" fillId="0" borderId="10" xfId="0" applyFont="1" applyBorder="1" applyAlignment="1">
      <alignment wrapText="1"/>
    </xf>
    <xf numFmtId="0" fontId="28" fillId="0" borderId="22" xfId="0" applyFont="1" applyBorder="1" applyAlignment="1">
      <alignment wrapText="1"/>
    </xf>
    <xf numFmtId="0" fontId="28" fillId="0" borderId="30" xfId="0" applyFont="1" applyBorder="1" applyAlignment="1">
      <alignment wrapText="1"/>
    </xf>
    <xf numFmtId="2" fontId="0" fillId="0" borderId="22" xfId="0" applyNumberFormat="1" applyBorder="1"/>
    <xf numFmtId="0" fontId="26" fillId="0" borderId="0" xfId="0" applyFont="1" applyAlignment="1">
      <alignment horizontal="left"/>
    </xf>
    <xf numFmtId="44" fontId="16" fillId="0" borderId="0" xfId="0" applyNumberFormat="1" applyFont="1"/>
    <xf numFmtId="0" fontId="26" fillId="0" borderId="0" xfId="0" quotePrefix="1" applyFont="1" applyAlignment="1">
      <alignment horizontal="center"/>
    </xf>
    <xf numFmtId="0" fontId="4" fillId="0" borderId="3" xfId="0" applyFont="1" applyBorder="1"/>
    <xf numFmtId="169" fontId="4" fillId="3" borderId="31" xfId="0" applyNumberFormat="1" applyFont="1" applyFill="1" applyBorder="1"/>
    <xf numFmtId="0" fontId="4" fillId="3" borderId="31" xfId="0" applyFont="1" applyFill="1" applyBorder="1" applyAlignment="1">
      <alignment horizontal="left"/>
    </xf>
    <xf numFmtId="0" fontId="4" fillId="3" borderId="31" xfId="0" applyFont="1" applyFill="1" applyBorder="1"/>
    <xf numFmtId="168" fontId="4" fillId="3" borderId="31" xfId="0" applyNumberFormat="1" applyFont="1" applyFill="1" applyBorder="1"/>
    <xf numFmtId="164" fontId="5" fillId="0" borderId="31" xfId="0" applyNumberFormat="1" applyFont="1" applyBorder="1"/>
    <xf numFmtId="169" fontId="4" fillId="3" borderId="12" xfId="0" applyNumberFormat="1" applyFont="1" applyFill="1" applyBorder="1"/>
    <xf numFmtId="0" fontId="4" fillId="3" borderId="12" xfId="0" applyFont="1" applyFill="1" applyBorder="1" applyAlignment="1">
      <alignment horizontal="left"/>
    </xf>
    <xf numFmtId="0" fontId="4" fillId="3" borderId="12" xfId="0" applyFont="1" applyFill="1" applyBorder="1"/>
    <xf numFmtId="168" fontId="4" fillId="3" borderId="12" xfId="0" applyNumberFormat="1" applyFont="1" applyFill="1" applyBorder="1"/>
    <xf numFmtId="164" fontId="5" fillId="0" borderId="12" xfId="0" applyNumberFormat="1" applyFont="1" applyBorder="1"/>
    <xf numFmtId="0" fontId="6" fillId="3" borderId="31" xfId="0" applyFont="1" applyFill="1" applyBorder="1" applyAlignment="1">
      <alignment horizontal="left" vertical="top"/>
    </xf>
    <xf numFmtId="0" fontId="6" fillId="3" borderId="12" xfId="0" applyFont="1" applyFill="1" applyBorder="1" applyAlignment="1">
      <alignment horizontal="left" vertical="top"/>
    </xf>
    <xf numFmtId="0" fontId="0" fillId="0" borderId="0" xfId="0" applyAlignment="1">
      <alignment horizontal="left" wrapText="1"/>
    </xf>
    <xf numFmtId="164" fontId="7" fillId="0" borderId="1" xfId="1" applyNumberFormat="1" applyFont="1" applyFill="1" applyBorder="1"/>
    <xf numFmtId="164" fontId="7" fillId="0" borderId="16" xfId="4" applyNumberFormat="1" applyBorder="1"/>
    <xf numFmtId="164" fontId="7" fillId="0" borderId="21" xfId="4" applyNumberFormat="1" applyBorder="1"/>
    <xf numFmtId="0" fontId="0" fillId="0" borderId="0" xfId="0" applyAlignment="1">
      <alignment horizontal="center"/>
    </xf>
    <xf numFmtId="2" fontId="27" fillId="9" borderId="0" xfId="0" applyNumberFormat="1" applyFont="1" applyFill="1"/>
    <xf numFmtId="170" fontId="4" fillId="3" borderId="31" xfId="0" applyNumberFormat="1" applyFont="1" applyFill="1" applyBorder="1"/>
    <xf numFmtId="0" fontId="5" fillId="0" borderId="31" xfId="0" applyFont="1" applyBorder="1"/>
    <xf numFmtId="168" fontId="5" fillId="0" borderId="31" xfId="0" applyNumberFormat="1" applyFont="1" applyBorder="1"/>
    <xf numFmtId="0" fontId="5" fillId="0" borderId="12" xfId="0" applyFont="1" applyBorder="1"/>
    <xf numFmtId="168" fontId="5" fillId="0" borderId="12" xfId="0" applyNumberFormat="1" applyFont="1" applyBorder="1"/>
    <xf numFmtId="0" fontId="0" fillId="4" borderId="0" xfId="0" applyFill="1"/>
    <xf numFmtId="14" fontId="4" fillId="0" borderId="12" xfId="0" applyNumberFormat="1" applyFont="1" applyBorder="1"/>
    <xf numFmtId="0" fontId="4" fillId="0" borderId="12" xfId="0" applyFont="1" applyBorder="1"/>
    <xf numFmtId="0" fontId="4" fillId="0" borderId="12" xfId="0" applyFont="1" applyBorder="1" applyAlignment="1">
      <alignment horizontal="left" wrapText="1"/>
    </xf>
    <xf numFmtId="164" fontId="5" fillId="0" borderId="33" xfId="0" applyNumberFormat="1" applyFont="1" applyBorder="1"/>
    <xf numFmtId="0" fontId="6" fillId="3" borderId="33" xfId="0" applyFont="1" applyFill="1" applyBorder="1" applyAlignment="1">
      <alignment horizontal="left" vertical="top"/>
    </xf>
    <xf numFmtId="0" fontId="4" fillId="3" borderId="33" xfId="0" applyFont="1" applyFill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30" fillId="0" borderId="1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3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vertical="top"/>
    </xf>
    <xf numFmtId="2" fontId="0" fillId="0" borderId="6" xfId="0" applyNumberFormat="1" applyBorder="1"/>
    <xf numFmtId="2" fontId="25" fillId="0" borderId="6" xfId="0" applyNumberFormat="1" applyFont="1" applyBorder="1" applyAlignment="1">
      <alignment wrapText="1"/>
    </xf>
    <xf numFmtId="0" fontId="31" fillId="0" borderId="0" xfId="0" applyFont="1" applyAlignment="1">
      <alignment wrapText="1"/>
    </xf>
    <xf numFmtId="0" fontId="0" fillId="0" borderId="1" xfId="0" applyBorder="1"/>
    <xf numFmtId="0" fontId="0" fillId="8" borderId="0" xfId="0" applyFill="1"/>
    <xf numFmtId="164" fontId="28" fillId="5" borderId="1" xfId="0" quotePrefix="1" applyNumberFormat="1" applyFont="1" applyFill="1" applyBorder="1"/>
    <xf numFmtId="164" fontId="28" fillId="0" borderId="0" xfId="0" quotePrefix="1" applyNumberFormat="1" applyFont="1"/>
    <xf numFmtId="164" fontId="19" fillId="0" borderId="0" xfId="0" quotePrefix="1" applyNumberFormat="1" applyFont="1"/>
    <xf numFmtId="0" fontId="28" fillId="6" borderId="1" xfId="3" applyFont="1" applyFill="1" applyBorder="1"/>
    <xf numFmtId="0" fontId="0" fillId="4" borderId="1" xfId="0" applyFill="1" applyBorder="1"/>
    <xf numFmtId="164" fontId="28" fillId="11" borderId="1" xfId="0" quotePrefix="1" applyNumberFormat="1" applyFont="1" applyFill="1" applyBorder="1"/>
    <xf numFmtId="164" fontId="19" fillId="0" borderId="4" xfId="0" quotePrefix="1" applyNumberFormat="1" applyFont="1" applyBorder="1"/>
    <xf numFmtId="164" fontId="19" fillId="0" borderId="5" xfId="0" quotePrefix="1" applyNumberFormat="1" applyFont="1" applyBorder="1"/>
    <xf numFmtId="164" fontId="28" fillId="0" borderId="5" xfId="0" quotePrefix="1" applyNumberFormat="1" applyFont="1" applyBorder="1"/>
    <xf numFmtId="0" fontId="6" fillId="3" borderId="22" xfId="0" applyFont="1" applyFill="1" applyBorder="1" applyAlignment="1">
      <alignment horizontal="left" vertical="top"/>
    </xf>
    <xf numFmtId="0" fontId="25" fillId="0" borderId="1" xfId="0" applyFont="1" applyBorder="1" applyAlignment="1">
      <alignment horizontal="left"/>
    </xf>
    <xf numFmtId="164" fontId="4" fillId="0" borderId="0" xfId="0" quotePrefix="1" applyNumberFormat="1" applyFont="1"/>
    <xf numFmtId="8" fontId="0" fillId="0" borderId="0" xfId="0" applyNumberFormat="1"/>
    <xf numFmtId="8" fontId="0" fillId="0" borderId="28" xfId="0" applyNumberFormat="1" applyBorder="1"/>
    <xf numFmtId="0" fontId="26" fillId="0" borderId="0" xfId="0" applyFont="1"/>
    <xf numFmtId="4" fontId="0" fillId="0" borderId="1" xfId="0" applyNumberFormat="1" applyBorder="1"/>
    <xf numFmtId="164" fontId="4" fillId="0" borderId="1" xfId="0" applyNumberFormat="1" applyFont="1" applyBorder="1"/>
    <xf numFmtId="164" fontId="20" fillId="4" borderId="1" xfId="0" applyNumberFormat="1" applyFont="1" applyFill="1" applyBorder="1"/>
    <xf numFmtId="164" fontId="19" fillId="4" borderId="1" xfId="0" applyNumberFormat="1" applyFont="1" applyFill="1" applyBorder="1"/>
    <xf numFmtId="14" fontId="5" fillId="0" borderId="32" xfId="0" applyNumberFormat="1" applyFont="1" applyBorder="1"/>
    <xf numFmtId="14" fontId="4" fillId="0" borderId="31" xfId="0" applyNumberFormat="1" applyFont="1" applyBorder="1"/>
    <xf numFmtId="0" fontId="25" fillId="0" borderId="12" xfId="0" applyFont="1" applyBorder="1" applyAlignment="1">
      <alignment horizontal="left"/>
    </xf>
    <xf numFmtId="0" fontId="4" fillId="0" borderId="31" xfId="0" applyFont="1" applyBorder="1"/>
    <xf numFmtId="168" fontId="5" fillId="0" borderId="33" xfId="0" applyNumberFormat="1" applyFont="1" applyBorder="1"/>
    <xf numFmtId="14" fontId="4" fillId="0" borderId="33" xfId="0" applyNumberFormat="1" applyFont="1" applyBorder="1"/>
    <xf numFmtId="0" fontId="0" fillId="0" borderId="0" xfId="0" quotePrefix="1"/>
    <xf numFmtId="14" fontId="0" fillId="0" borderId="0" xfId="0" applyNumberFormat="1" applyAlignment="1">
      <alignment horizontal="right"/>
    </xf>
    <xf numFmtId="168" fontId="0" fillId="4" borderId="0" xfId="0" applyNumberFormat="1" applyFill="1"/>
    <xf numFmtId="168" fontId="0" fillId="8" borderId="0" xfId="0" applyNumberFormat="1" applyFill="1"/>
    <xf numFmtId="164" fontId="19" fillId="11" borderId="4" xfId="0" quotePrefix="1" applyNumberFormat="1" applyFont="1" applyFill="1" applyBorder="1"/>
    <xf numFmtId="169" fontId="4" fillId="3" borderId="33" xfId="0" applyNumberFormat="1" applyFont="1" applyFill="1" applyBorder="1"/>
    <xf numFmtId="0" fontId="4" fillId="3" borderId="33" xfId="0" applyFont="1" applyFill="1" applyBorder="1"/>
    <xf numFmtId="168" fontId="4" fillId="3" borderId="33" xfId="0" applyNumberFormat="1" applyFont="1" applyFill="1" applyBorder="1"/>
    <xf numFmtId="0" fontId="4" fillId="0" borderId="3" xfId="0" applyFont="1" applyBorder="1" applyAlignment="1">
      <alignment horizontal="left" wrapText="1"/>
    </xf>
    <xf numFmtId="169" fontId="0" fillId="0" borderId="1" xfId="0" applyNumberFormat="1" applyBorder="1"/>
    <xf numFmtId="0" fontId="4" fillId="0" borderId="1" xfId="0" applyFont="1" applyBorder="1" applyAlignment="1">
      <alignment horizontal="left"/>
    </xf>
    <xf numFmtId="168" fontId="6" fillId="0" borderId="1" xfId="0" applyNumberFormat="1" applyFont="1" applyBorder="1" applyAlignment="1">
      <alignment horizontal="right"/>
    </xf>
    <xf numFmtId="0" fontId="25" fillId="0" borderId="0" xfId="0" applyFont="1" applyAlignment="1">
      <alignment wrapText="1"/>
    </xf>
    <xf numFmtId="2" fontId="26" fillId="0" borderId="0" xfId="0" applyNumberFormat="1" applyFont="1"/>
    <xf numFmtId="2" fontId="0" fillId="4" borderId="1" xfId="0" applyNumberFormat="1" applyFill="1" applyBorder="1"/>
    <xf numFmtId="2" fontId="25" fillId="4" borderId="1" xfId="0" applyNumberFormat="1" applyFont="1" applyFill="1" applyBorder="1"/>
    <xf numFmtId="2" fontId="0" fillId="9" borderId="1" xfId="0" applyNumberFormat="1" applyFill="1" applyBorder="1"/>
    <xf numFmtId="2" fontId="25" fillId="9" borderId="1" xfId="0" applyNumberFormat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left" wrapText="1"/>
    </xf>
    <xf numFmtId="0" fontId="4" fillId="0" borderId="31" xfId="0" applyFont="1" applyBorder="1" applyAlignment="1">
      <alignment horizontal="left" wrapText="1"/>
    </xf>
    <xf numFmtId="0" fontId="6" fillId="3" borderId="3" xfId="0" applyFont="1" applyFill="1" applyBorder="1" applyAlignment="1">
      <alignment horizontal="left" vertical="top"/>
    </xf>
    <xf numFmtId="169" fontId="4" fillId="3" borderId="22" xfId="0" applyNumberFormat="1" applyFont="1" applyFill="1" applyBorder="1"/>
    <xf numFmtId="0" fontId="4" fillId="0" borderId="22" xfId="0" applyFont="1" applyBorder="1"/>
    <xf numFmtId="0" fontId="4" fillId="0" borderId="22" xfId="0" applyFont="1" applyBorder="1" applyAlignment="1">
      <alignment horizontal="left" wrapText="1"/>
    </xf>
    <xf numFmtId="168" fontId="4" fillId="3" borderId="3" xfId="0" applyNumberFormat="1" applyFont="1" applyFill="1" applyBorder="1"/>
    <xf numFmtId="0" fontId="4" fillId="3" borderId="22" xfId="0" applyFont="1" applyFill="1" applyBorder="1" applyAlignment="1">
      <alignment horizontal="left"/>
    </xf>
    <xf numFmtId="164" fontId="5" fillId="0" borderId="3" xfId="0" applyNumberFormat="1" applyFont="1" applyBorder="1"/>
    <xf numFmtId="169" fontId="4" fillId="3" borderId="3" xfId="0" applyNumberFormat="1" applyFont="1" applyFill="1" applyBorder="1"/>
    <xf numFmtId="0" fontId="4" fillId="3" borderId="3" xfId="0" applyFont="1" applyFill="1" applyBorder="1" applyAlignment="1">
      <alignment horizontal="left"/>
    </xf>
    <xf numFmtId="164" fontId="28" fillId="12" borderId="1" xfId="0" quotePrefix="1" applyNumberFormat="1" applyFont="1" applyFill="1" applyBorder="1"/>
    <xf numFmtId="164" fontId="19" fillId="12" borderId="4" xfId="0" quotePrefix="1" applyNumberFormat="1" applyFont="1" applyFill="1" applyBorder="1"/>
    <xf numFmtId="164" fontId="5" fillId="0" borderId="22" xfId="0" applyNumberFormat="1" applyFont="1" applyBorder="1"/>
    <xf numFmtId="0" fontId="28" fillId="0" borderId="1" xfId="0" applyFont="1" applyBorder="1"/>
    <xf numFmtId="0" fontId="0" fillId="10" borderId="1" xfId="0" applyFill="1" applyBorder="1" applyAlignment="1">
      <alignment wrapText="1"/>
    </xf>
    <xf numFmtId="0" fontId="0" fillId="10" borderId="0" xfId="0" applyFill="1" applyAlignment="1">
      <alignment wrapText="1"/>
    </xf>
    <xf numFmtId="164" fontId="19" fillId="11" borderId="1" xfId="0" applyNumberFormat="1" applyFont="1" applyFill="1" applyBorder="1"/>
    <xf numFmtId="44" fontId="0" fillId="0" borderId="0" xfId="0" applyNumberFormat="1"/>
    <xf numFmtId="0" fontId="26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2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/>
  </cellXfs>
  <cellStyles count="5">
    <cellStyle name="Comma" xfId="1" builtinId="3"/>
    <cellStyle name="Normal" xfId="0" builtinId="0"/>
    <cellStyle name="Normal 2" xfId="3" xr:uid="{00000000-0005-0000-0000-000002000000}"/>
    <cellStyle name="Normal_2008 to 2009 Smisby PC final accounts including unpresented cheques" xfId="4" xr:uid="{00000000-0005-0000-0000-000003000000}"/>
    <cellStyle name="Per cent" xfId="2" builtinId="5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2"/>
  <sheetViews>
    <sheetView tabSelected="1" zoomScale="70" zoomScaleNormal="70" workbookViewId="0">
      <selection activeCell="C49" sqref="C49"/>
    </sheetView>
  </sheetViews>
  <sheetFormatPr defaultColWidth="10" defaultRowHeight="14.5" x14ac:dyDescent="0.35"/>
  <cols>
    <col min="1" max="1" width="19.26953125" style="55" bestFit="1" customWidth="1"/>
    <col min="2" max="2" width="37.81640625" style="55" bestFit="1" customWidth="1"/>
    <col min="3" max="3" width="35.54296875" style="55" customWidth="1"/>
    <col min="4" max="4" width="56.7265625" style="55" bestFit="1" customWidth="1"/>
    <col min="5" max="5" width="17" style="55" customWidth="1"/>
    <col min="6" max="6" width="26.1796875" style="55" customWidth="1"/>
    <col min="7" max="7" width="13.7265625" style="55" customWidth="1"/>
    <col min="8" max="8" width="16.453125" style="55" customWidth="1"/>
    <col min="9" max="9" width="16" style="55" customWidth="1"/>
    <col min="10" max="10" width="15" style="55" customWidth="1"/>
    <col min="11" max="11" width="16.453125" style="55" customWidth="1"/>
    <col min="12" max="12" width="14.453125" style="55" customWidth="1"/>
    <col min="13" max="13" width="14.1796875" style="55" customWidth="1"/>
    <col min="14" max="14" width="10.54296875" style="55" customWidth="1"/>
    <col min="15" max="15" width="12.81640625" style="55" customWidth="1"/>
    <col min="16" max="16" width="13.54296875" style="55" customWidth="1"/>
    <col min="17" max="18" width="11.26953125" style="55" customWidth="1"/>
    <col min="19" max="23" width="12" style="55" customWidth="1"/>
    <col min="24" max="24" width="11.26953125" style="55" customWidth="1"/>
    <col min="25" max="25" width="13.1796875" style="55" customWidth="1"/>
    <col min="26" max="16384" width="10" style="55"/>
  </cols>
  <sheetData>
    <row r="1" spans="1:13" ht="15.5" x14ac:dyDescent="0.35">
      <c r="A1" s="79" t="s">
        <v>51</v>
      </c>
      <c r="D1" s="79" t="s">
        <v>146</v>
      </c>
    </row>
    <row r="2" spans="1:13" ht="26.5" x14ac:dyDescent="0.35">
      <c r="A2" s="56" t="s">
        <v>0</v>
      </c>
      <c r="B2" s="1" t="s">
        <v>55</v>
      </c>
      <c r="C2" s="56" t="s">
        <v>1</v>
      </c>
      <c r="D2" s="57" t="s">
        <v>2</v>
      </c>
      <c r="E2" s="57" t="s">
        <v>3</v>
      </c>
      <c r="F2" s="57" t="s">
        <v>4</v>
      </c>
      <c r="G2" s="58" t="s">
        <v>5</v>
      </c>
      <c r="H2" s="58" t="s">
        <v>6</v>
      </c>
      <c r="I2" s="59" t="s">
        <v>7</v>
      </c>
      <c r="J2" s="96" t="s">
        <v>116</v>
      </c>
      <c r="K2" s="96" t="s">
        <v>76</v>
      </c>
      <c r="L2" s="1" t="s">
        <v>48</v>
      </c>
      <c r="M2"/>
    </row>
    <row r="3" spans="1:13" x14ac:dyDescent="0.35">
      <c r="A3" s="103">
        <v>45387</v>
      </c>
      <c r="B3" s="78" t="s">
        <v>154</v>
      </c>
      <c r="C3" s="2" t="s">
        <v>125</v>
      </c>
      <c r="D3" s="2" t="s">
        <v>4</v>
      </c>
      <c r="E3" s="239">
        <f t="shared" ref="E3:E12" si="0">F3+G3+H3+I3+J3+L3+K3</f>
        <v>3911</v>
      </c>
      <c r="F3" s="61">
        <f>4075-164</f>
        <v>3911</v>
      </c>
      <c r="G3" s="61"/>
      <c r="H3" s="61"/>
      <c r="I3" s="61"/>
      <c r="J3" s="61"/>
      <c r="K3" s="61"/>
      <c r="L3" s="61"/>
      <c r="M3" s="74"/>
    </row>
    <row r="4" spans="1:13" x14ac:dyDescent="0.35">
      <c r="A4" s="103">
        <v>45387</v>
      </c>
      <c r="B4" s="78" t="s">
        <v>154</v>
      </c>
      <c r="C4" s="2" t="s">
        <v>125</v>
      </c>
      <c r="D4" s="2" t="s">
        <v>126</v>
      </c>
      <c r="E4" s="239">
        <f t="shared" si="0"/>
        <v>164</v>
      </c>
      <c r="F4" s="61"/>
      <c r="G4" s="61">
        <v>164</v>
      </c>
      <c r="H4" s="61"/>
      <c r="I4" s="63"/>
      <c r="J4" s="63"/>
      <c r="K4" s="63"/>
      <c r="L4" s="63"/>
      <c r="M4" s="74"/>
    </row>
    <row r="5" spans="1:13" x14ac:dyDescent="0.35">
      <c r="A5" s="103">
        <v>45387</v>
      </c>
      <c r="B5" s="78" t="s">
        <v>154</v>
      </c>
      <c r="C5" s="78" t="s">
        <v>170</v>
      </c>
      <c r="D5" s="78" t="s">
        <v>171</v>
      </c>
      <c r="E5" s="239">
        <f t="shared" si="0"/>
        <v>50</v>
      </c>
      <c r="F5" s="61"/>
      <c r="G5" s="61"/>
      <c r="H5" s="61"/>
      <c r="I5" s="63"/>
      <c r="J5" s="63"/>
      <c r="K5" s="63">
        <v>50</v>
      </c>
      <c r="L5" s="63"/>
    </row>
    <row r="6" spans="1:13" x14ac:dyDescent="0.35">
      <c r="A6" s="103">
        <v>45400</v>
      </c>
      <c r="B6" s="78" t="s">
        <v>154</v>
      </c>
      <c r="C6" s="78" t="s">
        <v>177</v>
      </c>
      <c r="D6" s="78" t="s">
        <v>171</v>
      </c>
      <c r="E6" s="239">
        <f t="shared" si="0"/>
        <v>50</v>
      </c>
      <c r="F6" s="61"/>
      <c r="G6" s="61"/>
      <c r="H6" s="61"/>
      <c r="I6" s="63"/>
      <c r="J6" s="63"/>
      <c r="K6" s="63">
        <v>50</v>
      </c>
      <c r="L6" s="63"/>
    </row>
    <row r="7" spans="1:13" x14ac:dyDescent="0.35">
      <c r="A7" s="103">
        <v>45478</v>
      </c>
      <c r="B7" s="78" t="s">
        <v>154</v>
      </c>
      <c r="C7" s="2" t="s">
        <v>125</v>
      </c>
      <c r="D7" s="2" t="s">
        <v>4</v>
      </c>
      <c r="E7" s="239">
        <f t="shared" si="0"/>
        <v>3911</v>
      </c>
      <c r="F7" s="61">
        <v>3911</v>
      </c>
      <c r="G7" s="61"/>
      <c r="H7" s="61"/>
      <c r="I7" s="63"/>
      <c r="J7" s="63"/>
      <c r="K7" s="63"/>
      <c r="L7" s="63"/>
    </row>
    <row r="8" spans="1:13" x14ac:dyDescent="0.35">
      <c r="A8" s="103">
        <v>45559</v>
      </c>
      <c r="B8" s="78" t="s">
        <v>250</v>
      </c>
      <c r="C8" s="2" t="s">
        <v>247</v>
      </c>
      <c r="D8" s="2" t="s">
        <v>248</v>
      </c>
      <c r="E8" s="239">
        <f t="shared" si="0"/>
        <v>518</v>
      </c>
      <c r="F8" s="61"/>
      <c r="G8" s="61"/>
      <c r="H8" s="61"/>
      <c r="I8" s="63">
        <v>518</v>
      </c>
      <c r="J8" s="63"/>
      <c r="K8" s="63"/>
      <c r="L8" s="63"/>
    </row>
    <row r="9" spans="1:13" x14ac:dyDescent="0.35">
      <c r="A9" s="103">
        <v>45551</v>
      </c>
      <c r="B9" s="78" t="s">
        <v>154</v>
      </c>
      <c r="C9" s="2" t="s">
        <v>157</v>
      </c>
      <c r="D9" s="2" t="s">
        <v>251</v>
      </c>
      <c r="E9" s="239">
        <f t="shared" si="0"/>
        <v>553.23</v>
      </c>
      <c r="F9" s="61"/>
      <c r="G9" s="61"/>
      <c r="H9" s="61">
        <v>553.23</v>
      </c>
      <c r="I9" s="63"/>
      <c r="J9" s="63"/>
      <c r="K9" s="63"/>
      <c r="L9" s="63"/>
    </row>
    <row r="10" spans="1:13" x14ac:dyDescent="0.35">
      <c r="A10" s="103">
        <v>45677</v>
      </c>
      <c r="B10" s="78" t="s">
        <v>154</v>
      </c>
      <c r="C10" s="78" t="s">
        <v>157</v>
      </c>
      <c r="D10" s="78" t="s">
        <v>251</v>
      </c>
      <c r="E10" s="239">
        <f t="shared" si="0"/>
        <v>232.31</v>
      </c>
      <c r="F10" s="61"/>
      <c r="G10" s="61"/>
      <c r="H10" s="61">
        <v>232.31</v>
      </c>
      <c r="I10" s="63"/>
      <c r="J10" s="63"/>
      <c r="K10" s="63"/>
      <c r="L10" s="63"/>
      <c r="M10" s="178"/>
    </row>
    <row r="11" spans="1:13" x14ac:dyDescent="0.35">
      <c r="A11" s="103">
        <v>45688</v>
      </c>
      <c r="B11" s="78" t="s">
        <v>154</v>
      </c>
      <c r="C11" s="78" t="s">
        <v>125</v>
      </c>
      <c r="D11" s="78" t="s">
        <v>41</v>
      </c>
      <c r="E11" s="239">
        <f t="shared" si="0"/>
        <v>1842.15</v>
      </c>
      <c r="F11" s="61"/>
      <c r="G11" s="61"/>
      <c r="H11" s="61"/>
      <c r="I11" s="63"/>
      <c r="J11" s="63"/>
      <c r="K11" s="63"/>
      <c r="L11" s="63">
        <v>1842.15</v>
      </c>
      <c r="M11" s="178"/>
    </row>
    <row r="12" spans="1:13" x14ac:dyDescent="0.35">
      <c r="A12" s="103"/>
      <c r="B12" s="78"/>
      <c r="C12" s="78"/>
      <c r="D12" s="78"/>
      <c r="E12" s="61">
        <f t="shared" si="0"/>
        <v>0</v>
      </c>
      <c r="F12" s="62"/>
      <c r="G12" s="62"/>
      <c r="H12" s="62"/>
      <c r="I12" s="63"/>
      <c r="J12" s="63"/>
      <c r="K12" s="63"/>
      <c r="L12" s="63"/>
      <c r="M12" s="101"/>
    </row>
    <row r="13" spans="1:13" x14ac:dyDescent="0.35">
      <c r="A13" s="64"/>
      <c r="B13" s="65"/>
      <c r="C13" s="65"/>
      <c r="D13" s="66"/>
      <c r="E13" s="67"/>
      <c r="F13" s="67"/>
      <c r="G13" s="67"/>
      <c r="H13" s="67"/>
      <c r="I13" s="67"/>
      <c r="J13" s="68"/>
      <c r="K13" s="68"/>
      <c r="L13" s="68"/>
      <c r="M13" s="68"/>
    </row>
    <row r="14" spans="1:13" x14ac:dyDescent="0.35">
      <c r="A14" s="65"/>
      <c r="D14" s="80" t="s">
        <v>145</v>
      </c>
      <c r="E14" s="69">
        <f>SUM(E3:E12)</f>
        <v>11231.689999999999</v>
      </c>
      <c r="F14" s="69">
        <f t="shared" ref="F14:L14" si="1">SUM(F3:F13)</f>
        <v>7822</v>
      </c>
      <c r="G14" s="69">
        <f t="shared" si="1"/>
        <v>164</v>
      </c>
      <c r="H14" s="69">
        <f t="shared" si="1"/>
        <v>785.54</v>
      </c>
      <c r="I14" s="69">
        <f t="shared" si="1"/>
        <v>518</v>
      </c>
      <c r="J14" s="69">
        <f t="shared" si="1"/>
        <v>0</v>
      </c>
      <c r="K14" s="69">
        <f t="shared" si="1"/>
        <v>100</v>
      </c>
      <c r="L14" s="69">
        <f t="shared" si="1"/>
        <v>1842.15</v>
      </c>
      <c r="M14" s="74">
        <f>F14+G14+H14+I14+J14+L14+K14</f>
        <v>11231.69</v>
      </c>
    </row>
    <row r="15" spans="1:13" x14ac:dyDescent="0.35">
      <c r="G15" s="70"/>
    </row>
    <row r="16" spans="1:13" ht="15.5" x14ac:dyDescent="0.35">
      <c r="A16" s="54" t="s">
        <v>8</v>
      </c>
      <c r="D16" s="79" t="s">
        <v>146</v>
      </c>
    </row>
    <row r="17" spans="1:24" ht="50.25" customHeight="1" x14ac:dyDescent="0.35">
      <c r="A17" s="58" t="s">
        <v>0</v>
      </c>
      <c r="B17" s="58" t="s">
        <v>54</v>
      </c>
      <c r="C17" s="58" t="s">
        <v>9</v>
      </c>
      <c r="D17" s="58" t="s">
        <v>10</v>
      </c>
      <c r="E17" s="58" t="s">
        <v>3</v>
      </c>
      <c r="F17" s="58" t="s">
        <v>39</v>
      </c>
      <c r="G17" s="71" t="s">
        <v>151</v>
      </c>
      <c r="H17" s="58" t="s">
        <v>46</v>
      </c>
      <c r="I17" s="58" t="s">
        <v>28</v>
      </c>
      <c r="J17" s="58" t="s">
        <v>78</v>
      </c>
      <c r="K17" s="58" t="s">
        <v>11</v>
      </c>
      <c r="L17" s="58" t="s">
        <v>128</v>
      </c>
      <c r="M17" s="72" t="s">
        <v>12</v>
      </c>
      <c r="N17" s="72" t="s">
        <v>13</v>
      </c>
      <c r="O17" s="58" t="s">
        <v>92</v>
      </c>
      <c r="P17" s="58" t="s">
        <v>64</v>
      </c>
      <c r="Q17" s="58" t="s">
        <v>50</v>
      </c>
      <c r="R17" s="58" t="s">
        <v>94</v>
      </c>
      <c r="S17" s="58" t="s">
        <v>91</v>
      </c>
      <c r="T17" s="58" t="s">
        <v>130</v>
      </c>
      <c r="U17" s="58" t="s">
        <v>111</v>
      </c>
      <c r="V17" s="58" t="s">
        <v>133</v>
      </c>
      <c r="W17" s="58" t="s">
        <v>110</v>
      </c>
      <c r="X17" s="58" t="s">
        <v>49</v>
      </c>
    </row>
    <row r="18" spans="1:24" ht="15" customHeight="1" x14ac:dyDescent="0.35">
      <c r="A18" s="103">
        <v>45390</v>
      </c>
      <c r="B18" s="78" t="s">
        <v>154</v>
      </c>
      <c r="C18" s="78" t="s">
        <v>155</v>
      </c>
      <c r="D18" s="162" t="s">
        <v>156</v>
      </c>
      <c r="E18" s="240">
        <f>SUM(F18:X18)</f>
        <v>264.62</v>
      </c>
      <c r="F18" s="229"/>
      <c r="G18" s="62"/>
      <c r="H18" s="62"/>
      <c r="I18" s="62"/>
      <c r="J18" s="62">
        <v>264.62</v>
      </c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75"/>
    </row>
    <row r="19" spans="1:24" ht="15" customHeight="1" x14ac:dyDescent="0.35">
      <c r="A19" s="103">
        <v>45390</v>
      </c>
      <c r="B19" s="78" t="s">
        <v>154</v>
      </c>
      <c r="C19" s="78" t="s">
        <v>157</v>
      </c>
      <c r="D19" s="162" t="s">
        <v>158</v>
      </c>
      <c r="E19" s="240">
        <f t="shared" ref="E19:E81" si="2">SUM(F19:X19)</f>
        <v>210.6</v>
      </c>
      <c r="F19" s="62"/>
      <c r="G19" s="62"/>
      <c r="H19" s="62"/>
      <c r="I19" s="62"/>
      <c r="J19" s="62">
        <v>210.6</v>
      </c>
      <c r="K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75"/>
    </row>
    <row r="20" spans="1:24" s="73" customFormat="1" ht="15" customHeight="1" x14ac:dyDescent="0.35">
      <c r="A20" s="103">
        <v>45390</v>
      </c>
      <c r="B20" s="78" t="s">
        <v>154</v>
      </c>
      <c r="C20" s="78" t="s">
        <v>159</v>
      </c>
      <c r="D20" s="162" t="s">
        <v>160</v>
      </c>
      <c r="E20" s="240">
        <f t="shared" si="2"/>
        <v>148.22999999999999</v>
      </c>
      <c r="F20" s="230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0">
        <v>148.22999999999999</v>
      </c>
    </row>
    <row r="21" spans="1:24" s="70" customFormat="1" x14ac:dyDescent="0.35">
      <c r="A21" s="103">
        <v>45390</v>
      </c>
      <c r="B21" s="78" t="s">
        <v>154</v>
      </c>
      <c r="C21" s="78" t="s">
        <v>161</v>
      </c>
      <c r="D21" s="78" t="s">
        <v>208</v>
      </c>
      <c r="E21" s="240">
        <f t="shared" si="2"/>
        <v>364.19</v>
      </c>
      <c r="F21" s="222">
        <v>60.7</v>
      </c>
      <c r="G21" s="62">
        <v>303.49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89"/>
    </row>
    <row r="22" spans="1:24" s="70" customFormat="1" ht="15" customHeight="1" x14ac:dyDescent="0.35">
      <c r="A22" s="103">
        <v>45390</v>
      </c>
      <c r="B22" s="78" t="s">
        <v>154</v>
      </c>
      <c r="C22" s="78" t="s">
        <v>162</v>
      </c>
      <c r="D22" s="162" t="s">
        <v>163</v>
      </c>
      <c r="E22" s="240">
        <f t="shared" si="2"/>
        <v>2.95</v>
      </c>
      <c r="F22" s="222">
        <v>0.49</v>
      </c>
      <c r="G22" s="62"/>
      <c r="H22" s="62"/>
      <c r="I22" s="62"/>
      <c r="J22" s="62"/>
      <c r="K22" s="62"/>
      <c r="L22" s="62"/>
      <c r="M22" s="62"/>
      <c r="N22" s="62"/>
      <c r="O22" s="62">
        <v>2.46</v>
      </c>
      <c r="P22" s="62"/>
      <c r="Q22" s="62"/>
      <c r="R22" s="62"/>
      <c r="S22" s="62"/>
      <c r="T22" s="62"/>
      <c r="U22" s="62"/>
      <c r="V22" s="62"/>
      <c r="W22" s="62"/>
      <c r="X22" s="89"/>
    </row>
    <row r="23" spans="1:24" s="70" customFormat="1" ht="15" customHeight="1" x14ac:dyDescent="0.35">
      <c r="A23" s="103">
        <v>45427</v>
      </c>
      <c r="B23" s="78" t="s">
        <v>154</v>
      </c>
      <c r="C23" s="78" t="s">
        <v>125</v>
      </c>
      <c r="D23" s="162" t="s">
        <v>178</v>
      </c>
      <c r="E23" s="240">
        <f t="shared" si="2"/>
        <v>65.58</v>
      </c>
      <c r="F23" s="222">
        <v>10.93</v>
      </c>
      <c r="G23" s="62"/>
      <c r="H23" s="62"/>
      <c r="I23" s="62"/>
      <c r="J23" s="62"/>
      <c r="K23" s="62"/>
      <c r="L23" s="62">
        <v>54.65</v>
      </c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89"/>
    </row>
    <row r="24" spans="1:24" x14ac:dyDescent="0.35">
      <c r="A24" s="103">
        <v>45427</v>
      </c>
      <c r="B24" s="78" t="s">
        <v>154</v>
      </c>
      <c r="C24" s="78" t="s">
        <v>161</v>
      </c>
      <c r="D24" s="78" t="s">
        <v>209</v>
      </c>
      <c r="E24" s="240">
        <f t="shared" si="2"/>
        <v>364.19</v>
      </c>
      <c r="F24" s="222">
        <v>60.7</v>
      </c>
      <c r="G24" s="62">
        <v>303.49</v>
      </c>
      <c r="H24" s="62"/>
      <c r="I24" s="62"/>
      <c r="J24" s="75"/>
      <c r="K24" s="75"/>
      <c r="L24" s="62"/>
      <c r="M24" s="75"/>
      <c r="N24" s="75"/>
      <c r="O24" s="62"/>
      <c r="P24" s="62"/>
      <c r="Q24" s="62"/>
      <c r="R24" s="62"/>
      <c r="S24" s="62"/>
      <c r="T24" s="62"/>
      <c r="U24" s="62"/>
      <c r="V24" s="62"/>
      <c r="W24" s="62"/>
      <c r="X24" s="75"/>
    </row>
    <row r="25" spans="1:24" x14ac:dyDescent="0.35">
      <c r="A25" s="103">
        <v>45427</v>
      </c>
      <c r="B25" s="78" t="s">
        <v>154</v>
      </c>
      <c r="C25" s="78" t="s">
        <v>155</v>
      </c>
      <c r="D25" s="162" t="s">
        <v>172</v>
      </c>
      <c r="E25" s="240">
        <f t="shared" si="2"/>
        <v>252.82</v>
      </c>
      <c r="F25" s="62"/>
      <c r="G25" s="62"/>
      <c r="H25" s="62"/>
      <c r="I25" s="62"/>
      <c r="J25" s="62">
        <v>252.82</v>
      </c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75"/>
    </row>
    <row r="26" spans="1:24" ht="15.75" customHeight="1" x14ac:dyDescent="0.35">
      <c r="A26" s="103">
        <v>45427</v>
      </c>
      <c r="B26" s="78" t="s">
        <v>154</v>
      </c>
      <c r="C26" s="78" t="s">
        <v>14</v>
      </c>
      <c r="D26" s="162" t="s">
        <v>174</v>
      </c>
      <c r="E26" s="240">
        <f t="shared" si="2"/>
        <v>60</v>
      </c>
      <c r="F26" s="229"/>
      <c r="G26" s="62"/>
      <c r="H26" s="62"/>
      <c r="I26" s="62"/>
      <c r="J26" s="62"/>
      <c r="K26" s="62">
        <v>60</v>
      </c>
      <c r="L26" s="62"/>
      <c r="M26" s="62"/>
      <c r="N26" s="62"/>
      <c r="P26" s="62"/>
      <c r="Q26" s="62"/>
      <c r="R26" s="62"/>
      <c r="S26" s="62"/>
      <c r="T26" s="62"/>
      <c r="U26" s="62"/>
      <c r="V26" s="62"/>
      <c r="W26" s="62"/>
      <c r="X26" s="75"/>
    </row>
    <row r="27" spans="1:24" x14ac:dyDescent="0.35">
      <c r="A27" s="103">
        <v>45427</v>
      </c>
      <c r="B27" s="78" t="s">
        <v>154</v>
      </c>
      <c r="C27" s="78" t="s">
        <v>125</v>
      </c>
      <c r="D27" s="78" t="s">
        <v>184</v>
      </c>
      <c r="E27" s="240">
        <f t="shared" si="2"/>
        <v>65.58</v>
      </c>
      <c r="F27" s="222">
        <v>10.93</v>
      </c>
      <c r="G27" s="62"/>
      <c r="H27" s="62"/>
      <c r="I27" s="62"/>
      <c r="J27" s="62"/>
      <c r="K27" s="62"/>
      <c r="L27" s="62">
        <v>54.65</v>
      </c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75"/>
    </row>
    <row r="28" spans="1:24" x14ac:dyDescent="0.35">
      <c r="A28" s="103">
        <v>45427</v>
      </c>
      <c r="B28" s="78" t="s">
        <v>154</v>
      </c>
      <c r="C28" s="78" t="s">
        <v>180</v>
      </c>
      <c r="D28" s="162" t="s">
        <v>179</v>
      </c>
      <c r="E28" s="240">
        <f t="shared" si="2"/>
        <v>19</v>
      </c>
      <c r="F28" s="230"/>
      <c r="G28" s="62"/>
      <c r="H28" s="62"/>
      <c r="I28" s="62">
        <v>19</v>
      </c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75"/>
    </row>
    <row r="29" spans="1:24" x14ac:dyDescent="0.35">
      <c r="A29" s="103">
        <v>45427</v>
      </c>
      <c r="B29" s="78" t="s">
        <v>154</v>
      </c>
      <c r="C29" s="78" t="s">
        <v>155</v>
      </c>
      <c r="D29" s="78" t="s">
        <v>181</v>
      </c>
      <c r="E29" s="240">
        <f t="shared" si="2"/>
        <v>22.78</v>
      </c>
      <c r="F29" s="229"/>
      <c r="G29" s="62"/>
      <c r="H29" s="62">
        <v>22.78</v>
      </c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75"/>
    </row>
    <row r="30" spans="1:24" x14ac:dyDescent="0.35">
      <c r="A30" s="103">
        <v>45427</v>
      </c>
      <c r="B30" s="78" t="s">
        <v>154</v>
      </c>
      <c r="C30" s="180" t="s">
        <v>182</v>
      </c>
      <c r="D30" s="78" t="s">
        <v>183</v>
      </c>
      <c r="E30" s="240">
        <f t="shared" si="2"/>
        <v>70</v>
      </c>
      <c r="F30" s="230"/>
      <c r="G30" s="62"/>
      <c r="H30" s="62">
        <v>70</v>
      </c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75"/>
    </row>
    <row r="31" spans="1:24" x14ac:dyDescent="0.35">
      <c r="A31" s="103">
        <v>45427</v>
      </c>
      <c r="B31" s="78" t="s">
        <v>154</v>
      </c>
      <c r="C31" s="78" t="s">
        <v>161</v>
      </c>
      <c r="D31" s="162" t="s">
        <v>210</v>
      </c>
      <c r="E31" s="240">
        <f t="shared" si="2"/>
        <v>364.19</v>
      </c>
      <c r="F31" s="222">
        <v>60.7</v>
      </c>
      <c r="G31" s="62">
        <v>303.49</v>
      </c>
      <c r="H31" s="238" t="s">
        <v>187</v>
      </c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75"/>
    </row>
    <row r="32" spans="1:24" x14ac:dyDescent="0.35">
      <c r="A32" s="103">
        <v>45427</v>
      </c>
      <c r="B32" s="78" t="s">
        <v>154</v>
      </c>
      <c r="C32" s="78" t="s">
        <v>185</v>
      </c>
      <c r="D32" s="162" t="s">
        <v>12</v>
      </c>
      <c r="E32" s="240">
        <f t="shared" si="2"/>
        <v>469.22</v>
      </c>
      <c r="F32" s="229"/>
      <c r="G32" s="62"/>
      <c r="H32" s="62"/>
      <c r="I32" s="62"/>
      <c r="J32" s="62"/>
      <c r="K32" s="62"/>
      <c r="L32" s="62"/>
      <c r="M32" s="62">
        <v>469.22</v>
      </c>
      <c r="N32" s="62"/>
      <c r="P32" s="62"/>
      <c r="Q32" s="62"/>
      <c r="R32" s="62"/>
      <c r="S32" s="62"/>
      <c r="T32" s="62"/>
      <c r="U32" s="62"/>
      <c r="V32" s="62"/>
      <c r="W32" s="62"/>
      <c r="X32" s="75"/>
    </row>
    <row r="33" spans="1:24" x14ac:dyDescent="0.35">
      <c r="A33" s="103">
        <v>45444</v>
      </c>
      <c r="B33" s="78" t="s">
        <v>154</v>
      </c>
      <c r="C33" s="78" t="s">
        <v>180</v>
      </c>
      <c r="D33" s="78" t="s">
        <v>179</v>
      </c>
      <c r="E33" s="240">
        <f t="shared" si="2"/>
        <v>178</v>
      </c>
      <c r="F33" s="62"/>
      <c r="G33" s="62"/>
      <c r="H33" s="62"/>
      <c r="I33" s="62">
        <v>178</v>
      </c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75"/>
    </row>
    <row r="34" spans="1:24" x14ac:dyDescent="0.35">
      <c r="A34" s="103">
        <v>45444</v>
      </c>
      <c r="B34" s="78" t="s">
        <v>154</v>
      </c>
      <c r="C34" s="78" t="s">
        <v>196</v>
      </c>
      <c r="D34" s="162" t="s">
        <v>197</v>
      </c>
      <c r="E34" s="240">
        <f t="shared" si="2"/>
        <v>529</v>
      </c>
      <c r="F34" s="222">
        <v>88.17</v>
      </c>
      <c r="G34" s="62"/>
      <c r="H34" s="62"/>
      <c r="I34" s="62"/>
      <c r="J34" s="62"/>
      <c r="K34" s="62"/>
      <c r="L34" s="62"/>
      <c r="M34" s="62"/>
      <c r="N34" s="62"/>
      <c r="O34" s="62">
        <v>440.83</v>
      </c>
      <c r="P34" s="62"/>
      <c r="Q34" s="62"/>
      <c r="R34" s="62"/>
      <c r="S34" s="62"/>
      <c r="T34" s="62"/>
      <c r="U34" s="62"/>
      <c r="V34" s="62"/>
      <c r="W34" s="62"/>
      <c r="X34" s="75"/>
    </row>
    <row r="35" spans="1:24" x14ac:dyDescent="0.35">
      <c r="A35" s="103">
        <v>45444</v>
      </c>
      <c r="B35" s="78" t="s">
        <v>154</v>
      </c>
      <c r="C35" s="78" t="s">
        <v>155</v>
      </c>
      <c r="D35" s="162" t="s">
        <v>199</v>
      </c>
      <c r="E35" s="240">
        <f t="shared" si="2"/>
        <v>251.02</v>
      </c>
      <c r="F35" s="230"/>
      <c r="G35" s="62"/>
      <c r="H35" s="62"/>
      <c r="I35" s="62"/>
      <c r="J35" s="62">
        <v>251.02</v>
      </c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75"/>
    </row>
    <row r="36" spans="1:24" x14ac:dyDescent="0.35">
      <c r="A36" s="103">
        <v>45482</v>
      </c>
      <c r="B36" s="78" t="s">
        <v>154</v>
      </c>
      <c r="C36" s="78" t="s">
        <v>201</v>
      </c>
      <c r="D36" s="162" t="s">
        <v>202</v>
      </c>
      <c r="E36" s="240">
        <f t="shared" si="2"/>
        <v>320</v>
      </c>
      <c r="F36" s="230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>
        <v>320</v>
      </c>
      <c r="W36" s="62"/>
      <c r="X36" s="75"/>
    </row>
    <row r="37" spans="1:24" x14ac:dyDescent="0.35">
      <c r="A37" s="103">
        <v>45482</v>
      </c>
      <c r="B37" s="78" t="s">
        <v>154</v>
      </c>
      <c r="C37" s="78" t="s">
        <v>161</v>
      </c>
      <c r="D37" s="162" t="s">
        <v>211</v>
      </c>
      <c r="E37" s="240">
        <f t="shared" si="2"/>
        <v>364.19</v>
      </c>
      <c r="F37" s="222">
        <v>60.7</v>
      </c>
      <c r="G37" s="62">
        <v>303.49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75"/>
    </row>
    <row r="38" spans="1:24" x14ac:dyDescent="0.35">
      <c r="A38" s="103">
        <v>45482</v>
      </c>
      <c r="B38" s="78" t="s">
        <v>154</v>
      </c>
      <c r="C38" s="78" t="s">
        <v>155</v>
      </c>
      <c r="D38" s="78" t="s">
        <v>203</v>
      </c>
      <c r="E38" s="240">
        <f t="shared" si="2"/>
        <v>343.82</v>
      </c>
      <c r="F38" s="229"/>
      <c r="G38" s="62"/>
      <c r="H38" s="62"/>
      <c r="I38" s="62"/>
      <c r="J38" s="62">
        <v>343.82</v>
      </c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75"/>
    </row>
    <row r="39" spans="1:24" x14ac:dyDescent="0.35">
      <c r="A39" s="103">
        <v>45482</v>
      </c>
      <c r="B39" s="78" t="s">
        <v>154</v>
      </c>
      <c r="C39" s="78" t="s">
        <v>14</v>
      </c>
      <c r="D39" s="162" t="s">
        <v>174</v>
      </c>
      <c r="E39" s="240">
        <f t="shared" si="2"/>
        <v>60</v>
      </c>
      <c r="F39" s="230"/>
      <c r="G39" s="62"/>
      <c r="H39" s="62"/>
      <c r="I39" s="62"/>
      <c r="J39" s="62"/>
      <c r="K39" s="62">
        <v>60</v>
      </c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75"/>
    </row>
    <row r="40" spans="1:24" ht="15" customHeight="1" x14ac:dyDescent="0.35">
      <c r="A40" s="103">
        <v>45482</v>
      </c>
      <c r="B40" s="78" t="s">
        <v>154</v>
      </c>
      <c r="C40" s="78" t="s">
        <v>161</v>
      </c>
      <c r="D40" s="162" t="s">
        <v>212</v>
      </c>
      <c r="E40" s="240">
        <f t="shared" si="2"/>
        <v>364.19</v>
      </c>
      <c r="F40" s="222">
        <v>60.7</v>
      </c>
      <c r="G40" s="62">
        <v>303.49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75"/>
    </row>
    <row r="41" spans="1:24" x14ac:dyDescent="0.35">
      <c r="A41" s="103">
        <v>45482</v>
      </c>
      <c r="B41" s="78" t="s">
        <v>154</v>
      </c>
      <c r="C41" s="78" t="s">
        <v>157</v>
      </c>
      <c r="D41" s="162" t="s">
        <v>158</v>
      </c>
      <c r="E41" s="240">
        <f t="shared" si="2"/>
        <v>93.8</v>
      </c>
      <c r="F41" s="230"/>
      <c r="G41" s="62"/>
      <c r="H41" s="62"/>
      <c r="I41" s="62"/>
      <c r="J41" s="62">
        <f>123.8-30</f>
        <v>93.8</v>
      </c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75"/>
    </row>
    <row r="42" spans="1:24" ht="28.5" x14ac:dyDescent="0.35">
      <c r="A42" s="103">
        <v>45482</v>
      </c>
      <c r="B42" s="78" t="s">
        <v>154</v>
      </c>
      <c r="C42" s="78" t="s">
        <v>125</v>
      </c>
      <c r="D42" s="162" t="s">
        <v>204</v>
      </c>
      <c r="E42" s="240">
        <f t="shared" si="2"/>
        <v>155.58000000000001</v>
      </c>
      <c r="F42" s="222">
        <v>25.93</v>
      </c>
      <c r="G42" s="62"/>
      <c r="H42" s="62"/>
      <c r="I42" s="62"/>
      <c r="J42" s="62"/>
      <c r="K42" s="62"/>
      <c r="L42" s="62">
        <v>129.65</v>
      </c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75"/>
    </row>
    <row r="43" spans="1:24" x14ac:dyDescent="0.35">
      <c r="A43" s="103">
        <v>45482</v>
      </c>
      <c r="B43" s="78" t="s">
        <v>154</v>
      </c>
      <c r="C43" s="78" t="s">
        <v>205</v>
      </c>
      <c r="D43" s="162" t="s">
        <v>206</v>
      </c>
      <c r="E43" s="240">
        <f t="shared" si="2"/>
        <v>104.34</v>
      </c>
      <c r="F43" s="222">
        <f>P43*0.2</f>
        <v>17.39</v>
      </c>
      <c r="G43" s="62"/>
      <c r="H43" s="62"/>
      <c r="I43" s="62"/>
      <c r="J43" s="62"/>
      <c r="K43" s="62"/>
      <c r="L43" s="62"/>
      <c r="M43" s="62"/>
      <c r="N43" s="62"/>
      <c r="O43" s="62"/>
      <c r="P43" s="62">
        <f>84.29+2.66</f>
        <v>86.95</v>
      </c>
      <c r="Q43" s="62"/>
      <c r="R43" s="62"/>
      <c r="S43" s="62"/>
      <c r="T43" s="62"/>
      <c r="U43" s="62"/>
      <c r="V43" s="62"/>
      <c r="W43" s="62"/>
      <c r="X43" s="75"/>
    </row>
    <row r="44" spans="1:24" x14ac:dyDescent="0.35">
      <c r="A44" s="103">
        <v>45482</v>
      </c>
      <c r="B44" s="78" t="s">
        <v>154</v>
      </c>
      <c r="C44" s="78" t="s">
        <v>125</v>
      </c>
      <c r="D44" s="78" t="s">
        <v>220</v>
      </c>
      <c r="E44" s="240">
        <f t="shared" si="2"/>
        <v>65.58</v>
      </c>
      <c r="F44" s="222">
        <v>10.93</v>
      </c>
      <c r="G44" s="62"/>
      <c r="H44" s="62"/>
      <c r="I44" s="62"/>
      <c r="J44" s="62"/>
      <c r="K44" s="62"/>
      <c r="L44" s="62">
        <v>54.65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75"/>
    </row>
    <row r="45" spans="1:24" x14ac:dyDescent="0.35">
      <c r="A45" s="103">
        <v>45482</v>
      </c>
      <c r="B45" s="78" t="s">
        <v>154</v>
      </c>
      <c r="C45" s="78" t="s">
        <v>213</v>
      </c>
      <c r="D45" s="162" t="s">
        <v>214</v>
      </c>
      <c r="E45" s="240">
        <f t="shared" si="2"/>
        <v>79.989999999999995</v>
      </c>
      <c r="F45" s="222">
        <v>13.33</v>
      </c>
      <c r="G45" s="62"/>
      <c r="H45" s="62"/>
      <c r="I45" s="62"/>
      <c r="J45" s="62"/>
      <c r="K45" s="62"/>
      <c r="L45" s="62"/>
      <c r="M45" s="62"/>
      <c r="N45" s="62"/>
      <c r="O45" s="62">
        <v>66.66</v>
      </c>
      <c r="P45" s="62"/>
      <c r="Q45" s="62"/>
      <c r="R45" s="62"/>
      <c r="S45" s="62"/>
      <c r="T45" s="62"/>
      <c r="U45" s="62"/>
      <c r="V45" s="62"/>
      <c r="W45" s="62"/>
      <c r="X45" s="75"/>
    </row>
    <row r="46" spans="1:24" x14ac:dyDescent="0.35">
      <c r="A46" s="103">
        <v>45505</v>
      </c>
      <c r="B46" s="78" t="s">
        <v>154</v>
      </c>
      <c r="C46" s="78" t="s">
        <v>155</v>
      </c>
      <c r="D46" s="162" t="s">
        <v>215</v>
      </c>
      <c r="E46" s="240">
        <f t="shared" si="2"/>
        <v>282.62</v>
      </c>
      <c r="F46" s="62"/>
      <c r="G46" s="62"/>
      <c r="H46" s="62"/>
      <c r="I46" s="62"/>
      <c r="J46" s="238">
        <v>282.62</v>
      </c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75"/>
    </row>
    <row r="47" spans="1:24" x14ac:dyDescent="0.35">
      <c r="A47" s="103">
        <v>45505</v>
      </c>
      <c r="B47" s="78" t="s">
        <v>154</v>
      </c>
      <c r="C47" s="78" t="s">
        <v>161</v>
      </c>
      <c r="D47" s="162" t="s">
        <v>230</v>
      </c>
      <c r="E47" s="240">
        <f t="shared" si="2"/>
        <v>364.19</v>
      </c>
      <c r="F47" s="222">
        <v>60.7</v>
      </c>
      <c r="G47" s="62">
        <v>303.49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75"/>
    </row>
    <row r="48" spans="1:24" x14ac:dyDescent="0.35">
      <c r="A48" s="103">
        <v>45505</v>
      </c>
      <c r="B48" s="78" t="s">
        <v>154</v>
      </c>
      <c r="C48" s="78" t="s">
        <v>125</v>
      </c>
      <c r="D48" s="162" t="s">
        <v>216</v>
      </c>
      <c r="E48" s="240">
        <f t="shared" si="2"/>
        <v>65.58</v>
      </c>
      <c r="F48" s="222">
        <v>10.93</v>
      </c>
      <c r="G48" s="62"/>
      <c r="H48" s="62"/>
      <c r="I48" s="62"/>
      <c r="J48" s="62"/>
      <c r="K48" s="62"/>
      <c r="L48" s="62">
        <v>54.65</v>
      </c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75"/>
    </row>
    <row r="49" spans="1:24" x14ac:dyDescent="0.35">
      <c r="A49" s="103">
        <v>45505</v>
      </c>
      <c r="B49" s="78" t="s">
        <v>154</v>
      </c>
      <c r="C49" s="78" t="s">
        <v>328</v>
      </c>
      <c r="D49" s="162" t="s">
        <v>222</v>
      </c>
      <c r="E49" s="240">
        <f t="shared" si="2"/>
        <v>15</v>
      </c>
      <c r="F49" s="62"/>
      <c r="G49" s="62"/>
      <c r="H49" s="62"/>
      <c r="I49" s="62"/>
      <c r="J49" s="62"/>
      <c r="K49" s="62"/>
      <c r="L49" s="62"/>
      <c r="M49" s="62"/>
      <c r="N49" s="62"/>
      <c r="O49" s="62">
        <v>15</v>
      </c>
      <c r="P49" s="62"/>
      <c r="Q49" s="62"/>
      <c r="R49" s="62"/>
      <c r="S49" s="62"/>
      <c r="T49" s="62"/>
      <c r="U49" s="62"/>
      <c r="V49" s="62"/>
      <c r="W49" s="62"/>
      <c r="X49" s="75"/>
    </row>
    <row r="50" spans="1:24" x14ac:dyDescent="0.35">
      <c r="A50" s="103">
        <v>45547</v>
      </c>
      <c r="B50" s="78" t="s">
        <v>223</v>
      </c>
      <c r="C50" s="78" t="s">
        <v>227</v>
      </c>
      <c r="D50" s="162" t="s">
        <v>224</v>
      </c>
      <c r="E50" s="240">
        <f t="shared" si="2"/>
        <v>35</v>
      </c>
      <c r="F50" s="62"/>
      <c r="G50" s="62"/>
      <c r="H50" s="62"/>
      <c r="I50" s="62"/>
      <c r="J50" s="62"/>
      <c r="K50" s="62"/>
      <c r="L50" s="62"/>
      <c r="M50" s="62"/>
      <c r="N50" s="62"/>
      <c r="O50" s="62">
        <v>35</v>
      </c>
      <c r="P50" s="62"/>
      <c r="Q50" s="62"/>
      <c r="R50" s="62"/>
      <c r="S50" s="62"/>
      <c r="T50" s="62"/>
      <c r="U50" s="62"/>
      <c r="V50" s="62"/>
      <c r="W50" s="62"/>
      <c r="X50" s="75"/>
    </row>
    <row r="51" spans="1:24" x14ac:dyDescent="0.35">
      <c r="A51" s="103">
        <v>45545</v>
      </c>
      <c r="B51" s="78" t="s">
        <v>154</v>
      </c>
      <c r="C51" s="78" t="s">
        <v>155</v>
      </c>
      <c r="D51" s="162" t="s">
        <v>229</v>
      </c>
      <c r="E51" s="240">
        <f t="shared" si="2"/>
        <v>282.42</v>
      </c>
      <c r="F51" s="62"/>
      <c r="G51" s="62"/>
      <c r="H51" s="62"/>
      <c r="I51" s="62"/>
      <c r="J51" s="62">
        <v>282.42</v>
      </c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75"/>
    </row>
    <row r="52" spans="1:24" x14ac:dyDescent="0.35">
      <c r="A52" s="103">
        <v>45545</v>
      </c>
      <c r="B52" s="78" t="s">
        <v>154</v>
      </c>
      <c r="C52" s="78" t="s">
        <v>161</v>
      </c>
      <c r="D52" s="162" t="s">
        <v>233</v>
      </c>
      <c r="E52" s="240">
        <f t="shared" si="2"/>
        <v>364.19</v>
      </c>
      <c r="F52" s="277">
        <v>60.7</v>
      </c>
      <c r="G52" s="62">
        <v>303.49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75"/>
    </row>
    <row r="53" spans="1:24" x14ac:dyDescent="0.35">
      <c r="A53" s="103">
        <v>45545</v>
      </c>
      <c r="B53" s="78" t="s">
        <v>154</v>
      </c>
      <c r="C53" s="78" t="s">
        <v>125</v>
      </c>
      <c r="D53" s="162" t="s">
        <v>228</v>
      </c>
      <c r="E53" s="240">
        <f t="shared" si="2"/>
        <v>65.58</v>
      </c>
      <c r="F53" s="277">
        <v>10.93</v>
      </c>
      <c r="G53" s="62"/>
      <c r="H53" s="62"/>
      <c r="I53" s="62"/>
      <c r="J53" s="62"/>
      <c r="K53" s="62"/>
      <c r="L53" s="62">
        <v>54.65</v>
      </c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75"/>
    </row>
    <row r="54" spans="1:24" x14ac:dyDescent="0.35">
      <c r="A54" s="103">
        <v>45545</v>
      </c>
      <c r="B54" s="78" t="s">
        <v>154</v>
      </c>
      <c r="C54" s="78" t="s">
        <v>14</v>
      </c>
      <c r="D54" s="162" t="s">
        <v>14</v>
      </c>
      <c r="E54" s="240">
        <f t="shared" si="2"/>
        <v>60</v>
      </c>
      <c r="F54" s="62"/>
      <c r="G54" s="62"/>
      <c r="H54" s="62"/>
      <c r="I54" s="62"/>
      <c r="J54" s="62"/>
      <c r="K54" s="62">
        <v>60</v>
      </c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75"/>
    </row>
    <row r="55" spans="1:24" x14ac:dyDescent="0.35">
      <c r="A55" s="103">
        <v>45566</v>
      </c>
      <c r="B55" s="78" t="s">
        <v>154</v>
      </c>
      <c r="C55" s="180" t="s">
        <v>238</v>
      </c>
      <c r="D55" s="255" t="s">
        <v>237</v>
      </c>
      <c r="E55" s="240">
        <f t="shared" si="2"/>
        <v>0.85</v>
      </c>
      <c r="F55" s="62"/>
      <c r="G55" s="62"/>
      <c r="H55" s="62"/>
      <c r="I55" s="62"/>
      <c r="J55" s="62"/>
      <c r="L55" s="62"/>
      <c r="M55" s="62"/>
      <c r="N55" s="62"/>
      <c r="O55" s="62">
        <v>0.85</v>
      </c>
      <c r="P55" s="62"/>
      <c r="Q55" s="62"/>
      <c r="R55" s="62"/>
      <c r="S55" s="62"/>
      <c r="T55" s="62"/>
      <c r="U55" s="62"/>
      <c r="V55" s="62"/>
      <c r="W55" s="62"/>
      <c r="X55" s="75"/>
    </row>
    <row r="56" spans="1:24" x14ac:dyDescent="0.35">
      <c r="A56" s="103">
        <v>45566</v>
      </c>
      <c r="B56" s="78" t="s">
        <v>154</v>
      </c>
      <c r="C56" s="78" t="s">
        <v>155</v>
      </c>
      <c r="D56" s="162" t="s">
        <v>239</v>
      </c>
      <c r="E56" s="240">
        <f t="shared" si="2"/>
        <v>282.62</v>
      </c>
      <c r="F56" s="230"/>
      <c r="G56" s="62"/>
      <c r="H56" s="62"/>
      <c r="I56" s="62"/>
      <c r="J56" s="62">
        <v>282.62</v>
      </c>
      <c r="K56" s="62"/>
      <c r="L56" s="62"/>
      <c r="M56" s="62"/>
      <c r="N56" s="62"/>
      <c r="O56" s="75"/>
      <c r="P56" s="62"/>
      <c r="Q56" s="62"/>
      <c r="R56" s="62"/>
      <c r="S56" s="62"/>
      <c r="T56" s="62"/>
      <c r="U56" s="62"/>
      <c r="V56" s="62"/>
      <c r="W56" s="62"/>
      <c r="X56" s="75"/>
    </row>
    <row r="57" spans="1:24" x14ac:dyDescent="0.35">
      <c r="A57" s="103">
        <v>45566</v>
      </c>
      <c r="B57" s="78" t="s">
        <v>154</v>
      </c>
      <c r="C57" s="78" t="s">
        <v>161</v>
      </c>
      <c r="D57" s="162" t="s">
        <v>249</v>
      </c>
      <c r="E57" s="240">
        <f t="shared" si="2"/>
        <v>364.19</v>
      </c>
      <c r="F57" s="278">
        <v>60.7</v>
      </c>
      <c r="G57" s="62">
        <v>303.49</v>
      </c>
      <c r="H57" s="62"/>
      <c r="I57" s="62"/>
      <c r="J57" s="62"/>
      <c r="K57" s="62"/>
      <c r="L57" s="62"/>
      <c r="M57" s="62"/>
      <c r="N57" s="62"/>
      <c r="O57" s="75"/>
      <c r="P57" s="62"/>
      <c r="Q57" s="62"/>
      <c r="R57" s="62"/>
      <c r="S57" s="62"/>
      <c r="T57" s="62"/>
      <c r="U57" s="62"/>
      <c r="V57" s="62"/>
      <c r="W57" s="62"/>
      <c r="X57" s="75"/>
    </row>
    <row r="58" spans="1:24" x14ac:dyDescent="0.35">
      <c r="A58" s="103">
        <v>45566</v>
      </c>
      <c r="B58" s="78" t="s">
        <v>154</v>
      </c>
      <c r="C58" s="78" t="s">
        <v>125</v>
      </c>
      <c r="D58" s="162" t="s">
        <v>240</v>
      </c>
      <c r="E58" s="240">
        <f t="shared" si="2"/>
        <v>65.58</v>
      </c>
      <c r="F58" s="278">
        <v>10.93</v>
      </c>
      <c r="G58" s="62"/>
      <c r="H58" s="62"/>
      <c r="I58" s="62"/>
      <c r="J58" s="62"/>
      <c r="K58" s="62"/>
      <c r="L58" s="62">
        <v>54.65</v>
      </c>
      <c r="M58" s="62"/>
      <c r="N58" s="62"/>
      <c r="O58" s="75"/>
      <c r="P58" s="62"/>
      <c r="Q58" s="62"/>
      <c r="R58" s="62"/>
      <c r="S58" s="62"/>
      <c r="T58" s="62"/>
      <c r="U58" s="62"/>
      <c r="V58" s="62"/>
      <c r="W58" s="62"/>
      <c r="X58" s="75"/>
    </row>
    <row r="59" spans="1:24" x14ac:dyDescent="0.35">
      <c r="A59" s="103">
        <v>45566</v>
      </c>
      <c r="B59" s="78" t="s">
        <v>154</v>
      </c>
      <c r="C59" s="78" t="s">
        <v>157</v>
      </c>
      <c r="D59" s="162" t="s">
        <v>158</v>
      </c>
      <c r="E59" s="240">
        <f t="shared" si="2"/>
        <v>93.8</v>
      </c>
      <c r="F59" s="230"/>
      <c r="G59" s="62"/>
      <c r="H59" s="62"/>
      <c r="I59" s="62"/>
      <c r="J59" s="62">
        <v>93.8</v>
      </c>
      <c r="K59" s="62"/>
      <c r="L59" s="62"/>
      <c r="M59" s="62"/>
      <c r="N59" s="62"/>
      <c r="O59" s="75"/>
      <c r="P59" s="62"/>
      <c r="Q59" s="62"/>
      <c r="R59" s="62"/>
      <c r="S59" s="62"/>
      <c r="T59" s="62"/>
      <c r="U59" s="62"/>
      <c r="V59" s="62"/>
      <c r="W59" s="62"/>
      <c r="X59" s="75"/>
    </row>
    <row r="60" spans="1:24" x14ac:dyDescent="0.35">
      <c r="A60" s="103">
        <v>45566</v>
      </c>
      <c r="B60" s="78" t="s">
        <v>154</v>
      </c>
      <c r="C60" s="78" t="s">
        <v>245</v>
      </c>
      <c r="D60" s="162" t="s">
        <v>246</v>
      </c>
      <c r="E60" s="240">
        <f t="shared" si="2"/>
        <v>50</v>
      </c>
      <c r="F60" s="230"/>
      <c r="G60" s="62"/>
      <c r="H60" s="62"/>
      <c r="I60" s="62"/>
      <c r="J60" s="62"/>
      <c r="K60" s="62"/>
      <c r="L60" s="62"/>
      <c r="M60" s="62"/>
      <c r="N60" s="62">
        <v>50</v>
      </c>
      <c r="O60" s="75"/>
      <c r="P60" s="62"/>
      <c r="Q60" s="62"/>
      <c r="R60" s="62"/>
      <c r="S60" s="62"/>
      <c r="T60" s="62"/>
      <c r="U60" s="62"/>
      <c r="V60" s="62"/>
      <c r="W60" s="62"/>
      <c r="X60" s="75"/>
    </row>
    <row r="61" spans="1:24" x14ac:dyDescent="0.35">
      <c r="A61" s="103">
        <v>45607</v>
      </c>
      <c r="B61" s="78" t="s">
        <v>154</v>
      </c>
      <c r="C61" s="78" t="s">
        <v>155</v>
      </c>
      <c r="D61" s="162" t="s">
        <v>252</v>
      </c>
      <c r="E61" s="240">
        <f t="shared" si="2"/>
        <v>282.62</v>
      </c>
      <c r="F61" s="228"/>
      <c r="G61" s="62"/>
      <c r="H61" s="62"/>
      <c r="I61" s="62"/>
      <c r="J61" s="62">
        <v>282.62</v>
      </c>
      <c r="K61" s="62"/>
      <c r="L61" s="62"/>
      <c r="M61" s="62"/>
      <c r="N61" s="62"/>
      <c r="O61" s="75"/>
      <c r="P61" s="62"/>
      <c r="Q61" s="62"/>
      <c r="R61" s="62"/>
      <c r="S61" s="62"/>
      <c r="T61" s="62"/>
      <c r="U61" s="62"/>
      <c r="V61" s="62"/>
      <c r="W61" s="62"/>
      <c r="X61" s="75"/>
    </row>
    <row r="62" spans="1:24" x14ac:dyDescent="0.35">
      <c r="A62" s="103">
        <v>45607</v>
      </c>
      <c r="B62" s="78" t="s">
        <v>154</v>
      </c>
      <c r="C62" s="78" t="s">
        <v>161</v>
      </c>
      <c r="D62" s="162" t="s">
        <v>256</v>
      </c>
      <c r="E62" s="240">
        <f t="shared" si="2"/>
        <v>364.19</v>
      </c>
      <c r="F62" s="278">
        <v>60.7</v>
      </c>
      <c r="G62" s="62">
        <v>303.49</v>
      </c>
      <c r="H62" s="62"/>
      <c r="I62" s="62"/>
      <c r="J62" s="62"/>
      <c r="K62" s="62"/>
      <c r="L62" s="62"/>
      <c r="M62" s="62"/>
      <c r="N62" s="62"/>
      <c r="O62" s="75"/>
      <c r="P62" s="62"/>
      <c r="Q62" s="62"/>
      <c r="R62" s="62"/>
      <c r="S62" s="62"/>
      <c r="T62" s="62"/>
      <c r="U62" s="62"/>
      <c r="V62" s="62"/>
      <c r="W62" s="62"/>
      <c r="X62" s="75"/>
    </row>
    <row r="63" spans="1:24" x14ac:dyDescent="0.35">
      <c r="A63" s="103">
        <v>45607</v>
      </c>
      <c r="B63" s="78" t="s">
        <v>154</v>
      </c>
      <c r="C63" s="78" t="s">
        <v>125</v>
      </c>
      <c r="D63" s="162" t="s">
        <v>253</v>
      </c>
      <c r="E63" s="240">
        <f t="shared" si="2"/>
        <v>65.58</v>
      </c>
      <c r="F63" s="278">
        <v>10.93</v>
      </c>
      <c r="G63" s="62"/>
      <c r="H63" s="62"/>
      <c r="I63" s="62"/>
      <c r="J63" s="62"/>
      <c r="K63" s="62"/>
      <c r="L63" s="62">
        <v>54.65</v>
      </c>
      <c r="M63" s="62"/>
      <c r="N63" s="62"/>
      <c r="O63" s="75"/>
      <c r="P63" s="62"/>
      <c r="Q63" s="62"/>
      <c r="R63" s="62"/>
      <c r="S63" s="62"/>
      <c r="T63" s="62"/>
      <c r="U63" s="62"/>
      <c r="V63" s="62"/>
      <c r="W63" s="62"/>
      <c r="X63" s="75"/>
    </row>
    <row r="64" spans="1:24" x14ac:dyDescent="0.35">
      <c r="A64" s="103">
        <v>45607</v>
      </c>
      <c r="B64" s="78" t="s">
        <v>154</v>
      </c>
      <c r="C64" s="78" t="s">
        <v>14</v>
      </c>
      <c r="D64" s="162" t="s">
        <v>14</v>
      </c>
      <c r="E64" s="240">
        <f t="shared" si="2"/>
        <v>60</v>
      </c>
      <c r="F64" s="228"/>
      <c r="G64" s="62"/>
      <c r="H64" s="62"/>
      <c r="I64" s="62"/>
      <c r="J64" s="62"/>
      <c r="K64" s="62">
        <v>60</v>
      </c>
      <c r="L64" s="62"/>
      <c r="M64" s="62"/>
      <c r="N64" s="62"/>
      <c r="O64" s="75"/>
      <c r="P64" s="62"/>
      <c r="Q64" s="62"/>
      <c r="R64" s="62"/>
      <c r="S64" s="62"/>
      <c r="T64" s="62"/>
      <c r="U64" s="62"/>
      <c r="V64" s="62"/>
      <c r="W64" s="62"/>
      <c r="X64" s="75"/>
    </row>
    <row r="65" spans="1:24" x14ac:dyDescent="0.35">
      <c r="A65" s="103">
        <v>45607</v>
      </c>
      <c r="B65" s="78" t="s">
        <v>154</v>
      </c>
      <c r="C65" s="78" t="s">
        <v>162</v>
      </c>
      <c r="D65" s="162" t="s">
        <v>254</v>
      </c>
      <c r="E65" s="240">
        <f t="shared" si="2"/>
        <v>3.9899999999999998</v>
      </c>
      <c r="F65" s="278">
        <v>0.67</v>
      </c>
      <c r="G65" s="62"/>
      <c r="H65" s="62"/>
      <c r="I65" s="62"/>
      <c r="J65" s="62"/>
      <c r="K65" s="62"/>
      <c r="L65" s="62"/>
      <c r="M65" s="62"/>
      <c r="N65" s="62"/>
      <c r="O65" s="75">
        <v>3.32</v>
      </c>
      <c r="P65" s="62"/>
      <c r="Q65" s="62"/>
      <c r="R65" s="62"/>
      <c r="S65" s="62"/>
      <c r="T65" s="62"/>
      <c r="U65" s="62"/>
      <c r="V65" s="62"/>
      <c r="W65" s="62"/>
      <c r="X65" s="75"/>
    </row>
    <row r="66" spans="1:24" x14ac:dyDescent="0.35">
      <c r="A66" s="103">
        <v>45607</v>
      </c>
      <c r="B66" s="78" t="s">
        <v>154</v>
      </c>
      <c r="C66" s="78" t="s">
        <v>260</v>
      </c>
      <c r="D66" s="162" t="s">
        <v>258</v>
      </c>
      <c r="E66" s="240">
        <f t="shared" si="2"/>
        <v>34.9</v>
      </c>
      <c r="F66" s="278">
        <v>5.82</v>
      </c>
      <c r="G66" s="62"/>
      <c r="H66" s="62"/>
      <c r="I66" s="62"/>
      <c r="J66" s="62"/>
      <c r="K66" s="62"/>
      <c r="L66" s="62"/>
      <c r="M66" s="62"/>
      <c r="N66" s="62"/>
      <c r="O66" s="75">
        <v>29.08</v>
      </c>
      <c r="P66" s="62"/>
      <c r="Q66" s="62"/>
      <c r="R66" s="62"/>
      <c r="S66" s="62"/>
      <c r="T66" s="62"/>
      <c r="U66" s="62"/>
      <c r="V66" s="62"/>
      <c r="W66" s="62"/>
      <c r="X66" s="75"/>
    </row>
    <row r="67" spans="1:24" x14ac:dyDescent="0.35">
      <c r="A67" s="103">
        <v>45628</v>
      </c>
      <c r="B67" s="78" t="s">
        <v>154</v>
      </c>
      <c r="C67" s="78" t="s">
        <v>155</v>
      </c>
      <c r="D67" s="162" t="s">
        <v>271</v>
      </c>
      <c r="E67" s="240">
        <f t="shared" si="2"/>
        <v>356.79</v>
      </c>
      <c r="F67" s="228"/>
      <c r="G67" s="62"/>
      <c r="H67" s="62"/>
      <c r="I67" s="62"/>
      <c r="J67" s="62">
        <v>356.79</v>
      </c>
      <c r="K67" s="62"/>
      <c r="L67" s="62"/>
      <c r="M67" s="62"/>
      <c r="N67" s="62"/>
      <c r="O67" s="75"/>
      <c r="P67" s="62"/>
      <c r="Q67" s="62"/>
      <c r="R67" s="62"/>
      <c r="S67" s="62"/>
      <c r="T67" s="62"/>
      <c r="U67" s="62"/>
      <c r="V67" s="62"/>
      <c r="W67" s="62"/>
      <c r="X67" s="75"/>
    </row>
    <row r="68" spans="1:24" x14ac:dyDescent="0.35">
      <c r="A68" s="103">
        <v>45628</v>
      </c>
      <c r="B68" s="78" t="s">
        <v>154</v>
      </c>
      <c r="C68" s="78" t="s">
        <v>125</v>
      </c>
      <c r="D68" s="162" t="s">
        <v>272</v>
      </c>
      <c r="E68" s="240">
        <f t="shared" si="2"/>
        <v>65.58</v>
      </c>
      <c r="F68" s="278">
        <v>10.93</v>
      </c>
      <c r="G68" s="62"/>
      <c r="H68" s="62"/>
      <c r="I68" s="62"/>
      <c r="J68" s="62"/>
      <c r="K68" s="62"/>
      <c r="L68" s="62">
        <v>54.65</v>
      </c>
      <c r="M68" s="62"/>
      <c r="N68" s="62"/>
      <c r="O68" s="75"/>
      <c r="P68" s="62"/>
      <c r="Q68" s="62"/>
      <c r="R68" s="62"/>
      <c r="S68" s="62"/>
      <c r="T68" s="62"/>
      <c r="U68" s="62"/>
      <c r="V68" s="62"/>
      <c r="W68" s="62"/>
      <c r="X68" s="75"/>
    </row>
    <row r="69" spans="1:24" x14ac:dyDescent="0.35">
      <c r="A69" s="103">
        <v>45305</v>
      </c>
      <c r="B69" s="78" t="s">
        <v>154</v>
      </c>
      <c r="C69" s="78" t="s">
        <v>155</v>
      </c>
      <c r="D69" s="162" t="s">
        <v>277</v>
      </c>
      <c r="E69" s="240">
        <f t="shared" si="2"/>
        <v>323.44</v>
      </c>
      <c r="F69" s="228"/>
      <c r="G69" s="62"/>
      <c r="H69" s="62"/>
      <c r="I69" s="62"/>
      <c r="J69" s="62">
        <v>323.44</v>
      </c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75"/>
    </row>
    <row r="70" spans="1:24" x14ac:dyDescent="0.35">
      <c r="A70" s="103">
        <v>45305</v>
      </c>
      <c r="B70" s="78" t="s">
        <v>154</v>
      </c>
      <c r="C70" s="78" t="s">
        <v>125</v>
      </c>
      <c r="D70" s="162" t="s">
        <v>278</v>
      </c>
      <c r="E70" s="240">
        <f t="shared" si="2"/>
        <v>65.58</v>
      </c>
      <c r="F70" s="278">
        <v>10.93</v>
      </c>
      <c r="G70" s="62"/>
      <c r="H70" s="62"/>
      <c r="I70" s="62"/>
      <c r="J70" s="62"/>
      <c r="K70" s="62"/>
      <c r="L70" s="62">
        <v>54.65</v>
      </c>
      <c r="M70" s="62"/>
      <c r="N70" s="62"/>
      <c r="O70" s="75"/>
      <c r="P70" s="62"/>
      <c r="Q70" s="62"/>
      <c r="R70" s="62"/>
      <c r="S70" s="62"/>
      <c r="T70" s="62"/>
      <c r="U70" s="62"/>
      <c r="V70" s="62"/>
      <c r="W70" s="62"/>
      <c r="X70" s="75"/>
    </row>
    <row r="71" spans="1:24" x14ac:dyDescent="0.35">
      <c r="A71" s="103">
        <v>45305</v>
      </c>
      <c r="B71" s="78" t="s">
        <v>154</v>
      </c>
      <c r="C71" s="78" t="s">
        <v>14</v>
      </c>
      <c r="D71" s="162" t="s">
        <v>14</v>
      </c>
      <c r="E71" s="240">
        <f t="shared" si="2"/>
        <v>60</v>
      </c>
      <c r="F71" s="228"/>
      <c r="G71" s="62"/>
      <c r="H71" s="62"/>
      <c r="I71" s="62"/>
      <c r="J71" s="62"/>
      <c r="K71" s="62">
        <v>60</v>
      </c>
      <c r="L71" s="62"/>
      <c r="M71" s="62"/>
      <c r="N71" s="62"/>
      <c r="O71" s="75"/>
      <c r="P71" s="62"/>
      <c r="Q71" s="62"/>
      <c r="R71" s="62"/>
      <c r="S71" s="62"/>
      <c r="T71" s="62"/>
      <c r="U71" s="62"/>
      <c r="V71" s="62"/>
      <c r="W71" s="62"/>
      <c r="X71" s="75"/>
    </row>
    <row r="72" spans="1:24" x14ac:dyDescent="0.35">
      <c r="A72" s="103">
        <v>45305</v>
      </c>
      <c r="B72" s="78" t="s">
        <v>154</v>
      </c>
      <c r="C72" s="78" t="s">
        <v>279</v>
      </c>
      <c r="D72" s="162" t="s">
        <v>280</v>
      </c>
      <c r="E72" s="240">
        <f t="shared" si="2"/>
        <v>31.49</v>
      </c>
      <c r="F72" s="62"/>
      <c r="G72" s="62"/>
      <c r="H72" s="62"/>
      <c r="I72" s="62"/>
      <c r="J72" s="62"/>
      <c r="K72" s="62"/>
      <c r="L72" s="62"/>
      <c r="M72" s="62"/>
      <c r="N72" s="62"/>
      <c r="O72" s="75">
        <v>31.49</v>
      </c>
      <c r="P72" s="62"/>
      <c r="Q72" s="62"/>
      <c r="R72" s="62"/>
      <c r="S72" s="62"/>
      <c r="T72" s="62"/>
      <c r="U72" s="62"/>
      <c r="V72" s="62"/>
      <c r="W72" s="62"/>
      <c r="X72" s="75"/>
    </row>
    <row r="73" spans="1:24" x14ac:dyDescent="0.35">
      <c r="A73" s="103">
        <v>45305</v>
      </c>
      <c r="B73" s="78" t="s">
        <v>154</v>
      </c>
      <c r="C73" s="78" t="s">
        <v>157</v>
      </c>
      <c r="D73" s="162" t="s">
        <v>158</v>
      </c>
      <c r="E73" s="240">
        <f t="shared" si="2"/>
        <v>81.2</v>
      </c>
      <c r="F73" s="228"/>
      <c r="G73" s="62"/>
      <c r="H73" s="62"/>
      <c r="I73" s="62"/>
      <c r="J73" s="62">
        <v>81.2</v>
      </c>
      <c r="K73" s="62"/>
      <c r="L73" s="62"/>
      <c r="M73" s="62"/>
      <c r="N73" s="62"/>
      <c r="O73" s="75"/>
      <c r="P73" s="62"/>
      <c r="Q73" s="62"/>
      <c r="R73" s="62"/>
      <c r="S73" s="62"/>
      <c r="T73" s="62"/>
      <c r="U73" s="62"/>
      <c r="V73" s="62"/>
      <c r="W73" s="62"/>
      <c r="X73" s="63"/>
    </row>
    <row r="74" spans="1:24" x14ac:dyDescent="0.35">
      <c r="A74" s="103">
        <v>45691</v>
      </c>
      <c r="B74" s="78" t="s">
        <v>154</v>
      </c>
      <c r="C74" s="78" t="s">
        <v>155</v>
      </c>
      <c r="D74" s="162" t="s">
        <v>289</v>
      </c>
      <c r="E74" s="240">
        <f t="shared" si="2"/>
        <v>260.24</v>
      </c>
      <c r="F74" s="228"/>
      <c r="G74" s="62"/>
      <c r="H74" s="62"/>
      <c r="I74" s="62"/>
      <c r="J74" s="62">
        <v>260.24</v>
      </c>
      <c r="K74" s="62"/>
      <c r="L74" s="62"/>
      <c r="M74" s="62"/>
      <c r="N74" s="62"/>
      <c r="O74" s="75"/>
      <c r="P74" s="62"/>
      <c r="Q74" s="62"/>
      <c r="R74" s="62"/>
      <c r="S74" s="62"/>
      <c r="T74" s="62"/>
      <c r="U74" s="62"/>
      <c r="V74" s="62"/>
      <c r="W74" s="62"/>
      <c r="X74" s="63"/>
    </row>
    <row r="75" spans="1:24" x14ac:dyDescent="0.35">
      <c r="A75" s="103">
        <v>45691</v>
      </c>
      <c r="B75" s="78" t="s">
        <v>154</v>
      </c>
      <c r="C75" s="78" t="s">
        <v>125</v>
      </c>
      <c r="D75" s="162" t="s">
        <v>290</v>
      </c>
      <c r="E75" s="240">
        <f t="shared" si="2"/>
        <v>65.58</v>
      </c>
      <c r="F75" s="251">
        <v>10.93</v>
      </c>
      <c r="G75" s="62"/>
      <c r="H75" s="62"/>
      <c r="I75" s="62"/>
      <c r="J75" s="62"/>
      <c r="K75" s="62"/>
      <c r="L75" s="62">
        <v>54.65</v>
      </c>
      <c r="M75" s="62"/>
      <c r="N75" s="62"/>
      <c r="O75" s="75"/>
      <c r="P75" s="62"/>
      <c r="Q75" s="62"/>
      <c r="R75" s="62"/>
      <c r="S75" s="62"/>
      <c r="T75" s="62"/>
      <c r="U75" s="62"/>
      <c r="V75" s="62"/>
      <c r="W75" s="62"/>
      <c r="X75" s="63"/>
    </row>
    <row r="76" spans="1:24" x14ac:dyDescent="0.35">
      <c r="A76" s="103">
        <v>45727</v>
      </c>
      <c r="B76" s="78" t="s">
        <v>154</v>
      </c>
      <c r="C76" s="78" t="s">
        <v>155</v>
      </c>
      <c r="D76" s="162" t="s">
        <v>318</v>
      </c>
      <c r="E76" s="240">
        <f t="shared" si="2"/>
        <v>291.83999999999997</v>
      </c>
      <c r="F76" s="228"/>
      <c r="G76" s="62"/>
      <c r="H76" s="62"/>
      <c r="I76" s="62"/>
      <c r="J76" s="62">
        <v>291.83999999999997</v>
      </c>
      <c r="K76" s="62"/>
      <c r="L76" s="62"/>
      <c r="M76" s="62"/>
      <c r="N76" s="62"/>
      <c r="O76" s="75"/>
      <c r="P76" s="62"/>
      <c r="Q76" s="62"/>
      <c r="R76" s="62"/>
      <c r="S76" s="62"/>
      <c r="T76" s="62"/>
      <c r="U76" s="62"/>
      <c r="V76" s="62"/>
      <c r="W76" s="62"/>
      <c r="X76" s="63"/>
    </row>
    <row r="77" spans="1:24" x14ac:dyDescent="0.35">
      <c r="A77" s="103">
        <v>45727</v>
      </c>
      <c r="B77" s="78" t="s">
        <v>154</v>
      </c>
      <c r="C77" s="78" t="s">
        <v>125</v>
      </c>
      <c r="D77" s="162" t="s">
        <v>319</v>
      </c>
      <c r="E77" s="240">
        <f t="shared" si="2"/>
        <v>65.58</v>
      </c>
      <c r="F77" s="283">
        <v>10.93</v>
      </c>
      <c r="G77" s="62"/>
      <c r="H77" s="62"/>
      <c r="I77" s="62"/>
      <c r="J77" s="62"/>
      <c r="K77" s="62"/>
      <c r="L77" s="62">
        <v>54.65</v>
      </c>
      <c r="M77" s="62"/>
      <c r="N77" s="62"/>
      <c r="O77" s="75"/>
      <c r="P77" s="62"/>
      <c r="Q77" s="62"/>
      <c r="R77" s="62"/>
      <c r="S77" s="62"/>
      <c r="T77" s="62"/>
      <c r="U77" s="62"/>
      <c r="V77" s="62"/>
      <c r="W77" s="62"/>
      <c r="X77" s="63"/>
    </row>
    <row r="78" spans="1:24" x14ac:dyDescent="0.35">
      <c r="A78" s="103">
        <v>45727</v>
      </c>
      <c r="B78" s="78" t="s">
        <v>154</v>
      </c>
      <c r="C78" s="78" t="s">
        <v>14</v>
      </c>
      <c r="D78" s="162" t="s">
        <v>14</v>
      </c>
      <c r="E78" s="240">
        <f t="shared" si="2"/>
        <v>60</v>
      </c>
      <c r="F78" s="62"/>
      <c r="G78" s="62"/>
      <c r="H78" s="62"/>
      <c r="I78" s="62"/>
      <c r="J78" s="62"/>
      <c r="K78" s="62">
        <v>60</v>
      </c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3"/>
    </row>
    <row r="79" spans="1:24" x14ac:dyDescent="0.35">
      <c r="A79" s="103">
        <v>45727</v>
      </c>
      <c r="B79" s="78" t="s">
        <v>154</v>
      </c>
      <c r="C79" s="78" t="s">
        <v>155</v>
      </c>
      <c r="D79" s="162" t="s">
        <v>320</v>
      </c>
      <c r="E79" s="240">
        <f t="shared" si="2"/>
        <v>113.4</v>
      </c>
      <c r="F79" s="62"/>
      <c r="G79" s="62"/>
      <c r="H79" s="62"/>
      <c r="I79" s="62"/>
      <c r="J79" s="62"/>
      <c r="K79" s="62"/>
      <c r="L79" s="62"/>
      <c r="M79" s="62"/>
      <c r="N79" s="62"/>
      <c r="O79" s="62">
        <v>113.4</v>
      </c>
      <c r="P79" s="62"/>
      <c r="Q79" s="62"/>
      <c r="R79" s="62"/>
      <c r="S79" s="62"/>
      <c r="T79" s="62"/>
      <c r="U79" s="62"/>
      <c r="V79" s="62"/>
      <c r="W79" s="62"/>
      <c r="X79" s="63"/>
    </row>
    <row r="80" spans="1:24" s="70" customFormat="1" x14ac:dyDescent="0.35">
      <c r="A80" s="103">
        <v>45727</v>
      </c>
      <c r="B80" s="265" t="s">
        <v>154</v>
      </c>
      <c r="C80" s="265" t="s">
        <v>159</v>
      </c>
      <c r="D80" s="162" t="s">
        <v>321</v>
      </c>
      <c r="E80" s="240">
        <f t="shared" si="2"/>
        <v>50</v>
      </c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90">
        <v>50</v>
      </c>
    </row>
    <row r="81" spans="1:25" x14ac:dyDescent="0.35">
      <c r="B81" s="73"/>
      <c r="C81" s="73"/>
      <c r="D81" s="73"/>
      <c r="E81" s="62">
        <f t="shared" si="2"/>
        <v>10747.079999999998</v>
      </c>
      <c r="F81" s="63">
        <f t="shared" ref="F81:X81" si="3">SUM(F18:F80)</f>
        <v>818.3299999999997</v>
      </c>
      <c r="G81" s="63">
        <f t="shared" si="3"/>
        <v>2731.41</v>
      </c>
      <c r="H81" s="63">
        <f t="shared" si="3"/>
        <v>92.78</v>
      </c>
      <c r="I81" s="63">
        <f t="shared" si="3"/>
        <v>197</v>
      </c>
      <c r="J81" s="63">
        <f t="shared" si="3"/>
        <v>3954.2699999999995</v>
      </c>
      <c r="K81" s="63">
        <f t="shared" si="3"/>
        <v>360</v>
      </c>
      <c r="L81" s="63">
        <f t="shared" si="3"/>
        <v>730.79999999999984</v>
      </c>
      <c r="M81" s="63">
        <f t="shared" si="3"/>
        <v>469.22</v>
      </c>
      <c r="N81" s="63">
        <f t="shared" si="3"/>
        <v>50</v>
      </c>
      <c r="O81" s="63">
        <f t="shared" si="3"/>
        <v>738.09</v>
      </c>
      <c r="P81" s="63">
        <f t="shared" si="3"/>
        <v>86.95</v>
      </c>
      <c r="Q81" s="63">
        <f t="shared" si="3"/>
        <v>0</v>
      </c>
      <c r="R81" s="63">
        <f t="shared" ref="R81:W81" si="4">SUM(R18:R80)</f>
        <v>0</v>
      </c>
      <c r="S81" s="63">
        <f t="shared" si="4"/>
        <v>0</v>
      </c>
      <c r="T81" s="63">
        <f t="shared" si="4"/>
        <v>0</v>
      </c>
      <c r="U81" s="63">
        <f t="shared" si="4"/>
        <v>0</v>
      </c>
      <c r="V81" s="63">
        <f t="shared" si="4"/>
        <v>320</v>
      </c>
      <c r="W81" s="63">
        <f t="shared" si="4"/>
        <v>0</v>
      </c>
      <c r="X81" s="63">
        <f t="shared" si="3"/>
        <v>198.23</v>
      </c>
      <c r="Y81" s="74">
        <f>SUM(F81:X81)</f>
        <v>10747.079999999998</v>
      </c>
    </row>
    <row r="82" spans="1:25" x14ac:dyDescent="0.35">
      <c r="B82" s="65"/>
      <c r="D82" s="65"/>
      <c r="E82" s="74"/>
      <c r="Q82" s="74"/>
      <c r="R82" s="74"/>
      <c r="S82" s="74"/>
      <c r="T82" s="74"/>
      <c r="U82" s="74"/>
      <c r="V82" s="74"/>
      <c r="W82" s="74"/>
    </row>
    <row r="83" spans="1:25" x14ac:dyDescent="0.35">
      <c r="B83" s="280"/>
      <c r="C83"/>
      <c r="D83" s="76"/>
      <c r="E83" s="76"/>
      <c r="F83" s="76"/>
      <c r="G83" s="77"/>
      <c r="H83" s="76"/>
      <c r="I83" s="76"/>
      <c r="J83" s="76"/>
      <c r="K83" s="76"/>
      <c r="L83" s="76"/>
      <c r="M83" s="76"/>
      <c r="N83" s="76"/>
      <c r="O83" s="76"/>
    </row>
    <row r="84" spans="1:25" x14ac:dyDescent="0.35">
      <c r="B84" s="225" t="s">
        <v>97</v>
      </c>
      <c r="D84" s="4"/>
      <c r="F84" s="115" t="s">
        <v>57</v>
      </c>
      <c r="H84" t="s">
        <v>59</v>
      </c>
      <c r="M84" s="115" t="s">
        <v>57</v>
      </c>
      <c r="O84" t="s">
        <v>59</v>
      </c>
    </row>
    <row r="85" spans="1:25" x14ac:dyDescent="0.35">
      <c r="B85" s="222" t="s">
        <v>139</v>
      </c>
      <c r="C85" s="223"/>
      <c r="D85" s="233"/>
    </row>
    <row r="86" spans="1:25" x14ac:dyDescent="0.35">
      <c r="B86" s="227" t="s">
        <v>140</v>
      </c>
      <c r="C86" s="223"/>
      <c r="D86" s="224"/>
    </row>
    <row r="87" spans="1:25" x14ac:dyDescent="0.35">
      <c r="B87" s="226" t="s">
        <v>47</v>
      </c>
      <c r="C87"/>
    </row>
    <row r="88" spans="1:25" ht="29" x14ac:dyDescent="0.35">
      <c r="B88" s="281" t="s">
        <v>325</v>
      </c>
    </row>
    <row r="89" spans="1:25" x14ac:dyDescent="0.35">
      <c r="B89" s="282"/>
    </row>
    <row r="90" spans="1:25" x14ac:dyDescent="0.35">
      <c r="D90"/>
      <c r="E90"/>
      <c r="F90" s="115" t="s">
        <v>58</v>
      </c>
      <c r="H90" t="s">
        <v>59</v>
      </c>
      <c r="M90" s="115" t="s">
        <v>58</v>
      </c>
      <c r="O90" t="s">
        <v>59</v>
      </c>
    </row>
    <row r="91" spans="1:25" x14ac:dyDescent="0.35">
      <c r="A91" s="97" t="s">
        <v>103</v>
      </c>
      <c r="B91" t="s">
        <v>59</v>
      </c>
      <c r="E91"/>
    </row>
    <row r="92" spans="1:25" x14ac:dyDescent="0.35">
      <c r="A92" s="97"/>
    </row>
    <row r="93" spans="1:25" x14ac:dyDescent="0.35">
      <c r="A93" s="97"/>
    </row>
    <row r="94" spans="1:25" x14ac:dyDescent="0.35">
      <c r="A94" s="97"/>
      <c r="F94" s="116" t="s">
        <v>0</v>
      </c>
      <c r="H94" t="s">
        <v>59</v>
      </c>
      <c r="M94" s="116" t="s">
        <v>0</v>
      </c>
      <c r="O94" t="s">
        <v>59</v>
      </c>
    </row>
    <row r="95" spans="1:25" x14ac:dyDescent="0.35">
      <c r="A95" s="97" t="s">
        <v>104</v>
      </c>
      <c r="B95" t="s">
        <v>59</v>
      </c>
    </row>
    <row r="96" spans="1:25" x14ac:dyDescent="0.35">
      <c r="A96" s="97"/>
    </row>
    <row r="97" spans="1:10" x14ac:dyDescent="0.35">
      <c r="A97" s="97"/>
    </row>
    <row r="98" spans="1:10" x14ac:dyDescent="0.35">
      <c r="A98" s="97"/>
    </row>
    <row r="99" spans="1:10" x14ac:dyDescent="0.35">
      <c r="A99" s="97" t="s">
        <v>0</v>
      </c>
      <c r="B99" t="s">
        <v>59</v>
      </c>
    </row>
    <row r="112" spans="1:10" x14ac:dyDescent="0.35">
      <c r="J112" s="65"/>
    </row>
  </sheetData>
  <phoneticPr fontId="24" type="noConversion"/>
  <pageMargins left="0.7" right="0.7" top="0.75" bottom="0.75" header="0.3" footer="0.3"/>
  <pageSetup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F3F3F-25FF-45C0-8BA2-04DC3661E282}">
  <sheetPr>
    <pageSetUpPr fitToPage="1"/>
  </sheetPr>
  <dimension ref="A1:H27"/>
  <sheetViews>
    <sheetView workbookViewId="0">
      <selection activeCell="A27" sqref="A27"/>
    </sheetView>
  </sheetViews>
  <sheetFormatPr defaultRowHeight="14.5" x14ac:dyDescent="0.35"/>
  <cols>
    <col min="1" max="1" width="15.81640625" bestFit="1" customWidth="1"/>
    <col min="2" max="2" width="54" bestFit="1" customWidth="1"/>
    <col min="3" max="3" width="32.453125" bestFit="1" customWidth="1"/>
    <col min="4" max="4" width="12" style="82" bestFit="1" customWidth="1"/>
    <col min="5" max="5" width="12.81640625" bestFit="1" customWidth="1"/>
    <col min="6" max="6" width="11" bestFit="1" customWidth="1"/>
  </cols>
  <sheetData>
    <row r="1" spans="1:8" x14ac:dyDescent="0.35">
      <c r="A1" t="s">
        <v>105</v>
      </c>
      <c r="B1" t="s">
        <v>106</v>
      </c>
      <c r="C1" t="s">
        <v>107</v>
      </c>
      <c r="D1" s="82" t="s">
        <v>108</v>
      </c>
      <c r="E1" t="s">
        <v>109</v>
      </c>
      <c r="G1" s="204" t="s">
        <v>312</v>
      </c>
    </row>
    <row r="2" spans="1:8" x14ac:dyDescent="0.35">
      <c r="A2" s="172">
        <v>45369</v>
      </c>
      <c r="B2" t="s">
        <v>163</v>
      </c>
      <c r="C2" t="s">
        <v>164</v>
      </c>
      <c r="D2" s="249">
        <v>0.49</v>
      </c>
      <c r="E2">
        <v>727255821</v>
      </c>
      <c r="G2" s="221" t="s">
        <v>141</v>
      </c>
    </row>
    <row r="3" spans="1:8" x14ac:dyDescent="0.35">
      <c r="A3" s="172">
        <v>45352</v>
      </c>
      <c r="B3" t="s">
        <v>292</v>
      </c>
      <c r="C3" t="s">
        <v>161</v>
      </c>
      <c r="D3" s="249">
        <v>60.7</v>
      </c>
      <c r="E3">
        <v>808637607</v>
      </c>
    </row>
    <row r="4" spans="1:8" x14ac:dyDescent="0.35">
      <c r="A4" s="172">
        <v>45383</v>
      </c>
      <c r="B4" t="s">
        <v>294</v>
      </c>
      <c r="C4" t="s">
        <v>161</v>
      </c>
      <c r="D4" s="249">
        <v>60.7</v>
      </c>
      <c r="E4">
        <v>808637607</v>
      </c>
    </row>
    <row r="5" spans="1:8" x14ac:dyDescent="0.35">
      <c r="A5" s="172">
        <v>45413</v>
      </c>
      <c r="B5" t="s">
        <v>296</v>
      </c>
      <c r="C5" t="s">
        <v>161</v>
      </c>
      <c r="D5" s="249">
        <v>60.7</v>
      </c>
      <c r="E5">
        <v>808637607</v>
      </c>
    </row>
    <row r="6" spans="1:8" x14ac:dyDescent="0.35">
      <c r="A6" s="172">
        <v>45434</v>
      </c>
      <c r="B6" t="s">
        <v>197</v>
      </c>
      <c r="C6" t="s">
        <v>198</v>
      </c>
      <c r="D6" s="249">
        <v>88.17</v>
      </c>
      <c r="E6">
        <v>206953796</v>
      </c>
    </row>
    <row r="7" spans="1:8" x14ac:dyDescent="0.35">
      <c r="A7" s="172">
        <v>45444</v>
      </c>
      <c r="B7" t="s">
        <v>297</v>
      </c>
      <c r="C7" t="s">
        <v>161</v>
      </c>
      <c r="D7" s="249">
        <v>60.7</v>
      </c>
      <c r="E7">
        <v>808637607</v>
      </c>
    </row>
    <row r="8" spans="1:8" x14ac:dyDescent="0.35">
      <c r="A8" s="172">
        <v>45484</v>
      </c>
      <c r="B8" t="s">
        <v>300</v>
      </c>
      <c r="C8" t="s">
        <v>125</v>
      </c>
      <c r="D8" s="249">
        <v>10.93</v>
      </c>
      <c r="E8">
        <v>127237969</v>
      </c>
    </row>
    <row r="9" spans="1:8" x14ac:dyDescent="0.35">
      <c r="A9" s="248">
        <v>45474</v>
      </c>
      <c r="B9" t="s">
        <v>206</v>
      </c>
      <c r="C9" t="s">
        <v>207</v>
      </c>
      <c r="D9" s="249">
        <v>17.39</v>
      </c>
      <c r="E9">
        <v>827639788</v>
      </c>
      <c r="G9" s="82"/>
      <c r="H9" s="82"/>
    </row>
    <row r="10" spans="1:8" x14ac:dyDescent="0.35">
      <c r="A10" s="172">
        <v>45404</v>
      </c>
      <c r="B10" t="s">
        <v>293</v>
      </c>
      <c r="C10" t="s">
        <v>125</v>
      </c>
      <c r="D10" s="249">
        <v>10.93</v>
      </c>
      <c r="E10">
        <v>127237969</v>
      </c>
    </row>
    <row r="11" spans="1:8" x14ac:dyDescent="0.35">
      <c r="A11" s="172">
        <v>45415</v>
      </c>
      <c r="B11" t="s">
        <v>295</v>
      </c>
      <c r="C11" t="s">
        <v>125</v>
      </c>
      <c r="D11" s="249">
        <v>10.93</v>
      </c>
      <c r="E11">
        <v>127237969</v>
      </c>
    </row>
    <row r="12" spans="1:8" x14ac:dyDescent="0.35">
      <c r="A12" s="172">
        <v>45474</v>
      </c>
      <c r="B12" t="s">
        <v>298</v>
      </c>
      <c r="C12" t="s">
        <v>161</v>
      </c>
      <c r="D12" s="249">
        <v>60.7</v>
      </c>
      <c r="E12">
        <v>808637607</v>
      </c>
    </row>
    <row r="13" spans="1:8" x14ac:dyDescent="0.35">
      <c r="A13" s="172">
        <v>45449</v>
      </c>
      <c r="B13" t="s">
        <v>299</v>
      </c>
      <c r="C13" t="s">
        <v>125</v>
      </c>
      <c r="D13" s="249">
        <v>25.93</v>
      </c>
      <c r="E13">
        <v>127237969</v>
      </c>
    </row>
    <row r="14" spans="1:8" x14ac:dyDescent="0.35">
      <c r="A14" s="172">
        <v>45466</v>
      </c>
      <c r="B14" s="247" t="s">
        <v>232</v>
      </c>
      <c r="C14" t="s">
        <v>231</v>
      </c>
      <c r="D14" s="249">
        <v>13.33</v>
      </c>
      <c r="E14">
        <v>639237322</v>
      </c>
    </row>
    <row r="15" spans="1:8" x14ac:dyDescent="0.35">
      <c r="A15" s="172">
        <v>45505</v>
      </c>
      <c r="B15" t="s">
        <v>301</v>
      </c>
      <c r="C15" t="s">
        <v>161</v>
      </c>
      <c r="D15" s="249">
        <v>60.7</v>
      </c>
      <c r="E15">
        <v>808637607</v>
      </c>
    </row>
    <row r="16" spans="1:8" x14ac:dyDescent="0.35">
      <c r="A16" s="172">
        <v>45517</v>
      </c>
      <c r="B16" t="s">
        <v>302</v>
      </c>
      <c r="C16" t="s">
        <v>125</v>
      </c>
      <c r="D16" s="249">
        <v>10.93</v>
      </c>
      <c r="E16">
        <v>127237969</v>
      </c>
    </row>
    <row r="17" spans="1:5" x14ac:dyDescent="0.35">
      <c r="A17" s="172">
        <v>45536</v>
      </c>
      <c r="B17" t="s">
        <v>303</v>
      </c>
      <c r="C17" t="s">
        <v>161</v>
      </c>
      <c r="D17" s="249">
        <v>60.7</v>
      </c>
      <c r="E17">
        <v>808637607</v>
      </c>
    </row>
    <row r="18" spans="1:5" x14ac:dyDescent="0.35">
      <c r="A18" s="172">
        <v>45541</v>
      </c>
      <c r="B18" t="s">
        <v>304</v>
      </c>
      <c r="C18" t="s">
        <v>125</v>
      </c>
      <c r="D18" s="249">
        <v>10.93</v>
      </c>
      <c r="E18">
        <v>127237969</v>
      </c>
    </row>
    <row r="19" spans="1:5" x14ac:dyDescent="0.35">
      <c r="A19" s="172">
        <v>45566</v>
      </c>
      <c r="B19" t="s">
        <v>305</v>
      </c>
      <c r="C19" t="s">
        <v>161</v>
      </c>
      <c r="D19" s="249">
        <v>60.7</v>
      </c>
      <c r="E19">
        <v>808637607</v>
      </c>
    </row>
    <row r="20" spans="1:5" x14ac:dyDescent="0.35">
      <c r="A20" s="172">
        <v>45569</v>
      </c>
      <c r="B20" t="s">
        <v>306</v>
      </c>
      <c r="C20" t="s">
        <v>125</v>
      </c>
      <c r="D20" s="249">
        <v>10.93</v>
      </c>
      <c r="E20">
        <v>127237969</v>
      </c>
    </row>
    <row r="21" spans="1:5" x14ac:dyDescent="0.35">
      <c r="A21" s="172">
        <v>45567</v>
      </c>
      <c r="B21" t="s">
        <v>254</v>
      </c>
      <c r="C21" t="s">
        <v>164</v>
      </c>
      <c r="D21" s="249">
        <v>0.67</v>
      </c>
      <c r="E21">
        <v>727255821</v>
      </c>
    </row>
    <row r="22" spans="1:5" x14ac:dyDescent="0.35">
      <c r="A22" s="172">
        <v>45597</v>
      </c>
      <c r="B22" t="s">
        <v>307</v>
      </c>
      <c r="C22" t="s">
        <v>161</v>
      </c>
      <c r="D22" s="249">
        <v>60.7</v>
      </c>
      <c r="E22">
        <v>808637607</v>
      </c>
    </row>
    <row r="23" spans="1:5" x14ac:dyDescent="0.35">
      <c r="A23" s="172">
        <v>45587</v>
      </c>
      <c r="B23" t="s">
        <v>258</v>
      </c>
      <c r="C23" t="s">
        <v>259</v>
      </c>
      <c r="D23" s="249">
        <v>5.82</v>
      </c>
      <c r="E23">
        <v>250872112</v>
      </c>
    </row>
    <row r="24" spans="1:5" x14ac:dyDescent="0.35">
      <c r="A24" s="172">
        <v>45602</v>
      </c>
      <c r="B24" t="s">
        <v>308</v>
      </c>
      <c r="C24" t="s">
        <v>125</v>
      </c>
      <c r="D24" s="249">
        <v>10.93</v>
      </c>
      <c r="E24">
        <v>127237969</v>
      </c>
    </row>
    <row r="25" spans="1:5" x14ac:dyDescent="0.35">
      <c r="A25" s="172">
        <v>45631</v>
      </c>
      <c r="B25" t="s">
        <v>309</v>
      </c>
      <c r="C25" t="s">
        <v>125</v>
      </c>
      <c r="D25" s="249">
        <v>10.93</v>
      </c>
      <c r="E25">
        <v>127237969</v>
      </c>
    </row>
    <row r="26" spans="1:5" x14ac:dyDescent="0.35">
      <c r="A26" s="172">
        <v>45663</v>
      </c>
      <c r="B26" t="s">
        <v>310</v>
      </c>
      <c r="C26" t="s">
        <v>125</v>
      </c>
      <c r="D26" s="250">
        <v>10.93</v>
      </c>
      <c r="E26">
        <v>127237969</v>
      </c>
    </row>
    <row r="27" spans="1:5" x14ac:dyDescent="0.35">
      <c r="A27" s="172">
        <v>45694</v>
      </c>
      <c r="B27" t="s">
        <v>311</v>
      </c>
      <c r="C27" t="s">
        <v>125</v>
      </c>
      <c r="D27" s="250">
        <v>10.93</v>
      </c>
      <c r="E27">
        <v>127237969</v>
      </c>
    </row>
  </sheetData>
  <sortState xmlns:xlrd2="http://schemas.microsoft.com/office/spreadsheetml/2017/richdata2" ref="A2:E17">
    <sortCondition ref="A2:A17"/>
  </sortState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A69C8-F6EA-489E-BE23-4F2BA417CBF9}">
  <dimension ref="A1:C7"/>
  <sheetViews>
    <sheetView workbookViewId="0">
      <selection activeCell="C8" sqref="C8"/>
    </sheetView>
  </sheetViews>
  <sheetFormatPr defaultRowHeight="14.5" x14ac:dyDescent="0.35"/>
  <cols>
    <col min="1" max="1" width="26.7265625" bestFit="1" customWidth="1"/>
    <col min="3" max="3" width="10.453125" bestFit="1" customWidth="1"/>
  </cols>
  <sheetData>
    <row r="1" spans="1:3" x14ac:dyDescent="0.35">
      <c r="A1" s="236" t="s">
        <v>165</v>
      </c>
      <c r="B1" s="234">
        <v>10.81</v>
      </c>
      <c r="C1" t="s">
        <v>166</v>
      </c>
    </row>
    <row r="2" spans="1:3" x14ac:dyDescent="0.35">
      <c r="B2">
        <v>128</v>
      </c>
      <c r="C2" t="s">
        <v>167</v>
      </c>
    </row>
    <row r="3" spans="1:3" ht="15" thickBot="1" x14ac:dyDescent="0.4">
      <c r="B3" s="235">
        <f>B1*B2</f>
        <v>1383.68</v>
      </c>
      <c r="C3" t="s">
        <v>168</v>
      </c>
    </row>
    <row r="4" spans="1:3" ht="15" thickTop="1" x14ac:dyDescent="0.35"/>
    <row r="5" spans="1:3" x14ac:dyDescent="0.35">
      <c r="B5">
        <f>'Balance Sheet'!E29</f>
        <v>50</v>
      </c>
      <c r="C5" t="s">
        <v>169</v>
      </c>
    </row>
    <row r="7" spans="1:3" x14ac:dyDescent="0.35">
      <c r="A7" t="s">
        <v>255</v>
      </c>
      <c r="B7" s="234">
        <v>50</v>
      </c>
      <c r="C7" s="172">
        <v>45546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7"/>
  <sheetViews>
    <sheetView zoomScaleNormal="100" workbookViewId="0">
      <pane ySplit="3" topLeftCell="A4" activePane="bottomLeft" state="frozen"/>
      <selection pane="bottomLeft" activeCell="G76" sqref="G76"/>
    </sheetView>
  </sheetViews>
  <sheetFormatPr defaultColWidth="10" defaultRowHeight="14.5" x14ac:dyDescent="0.35"/>
  <cols>
    <col min="1" max="1" width="43.26953125" style="213" bestFit="1" customWidth="1"/>
    <col min="2" max="2" width="13" style="86" customWidth="1"/>
    <col min="3" max="3" width="18.81640625" style="9" bestFit="1" customWidth="1"/>
    <col min="4" max="4" width="32.1796875" customWidth="1"/>
    <col min="5" max="5" width="74.08984375" bestFit="1" customWidth="1"/>
    <col min="6" max="6" width="15" style="82" customWidth="1"/>
    <col min="7" max="7" width="13.7265625" customWidth="1"/>
    <col min="8" max="8" width="2.7265625" customWidth="1"/>
    <col min="9" max="9" width="23.7265625" customWidth="1"/>
    <col min="10" max="10" width="37.54296875" bestFit="1" customWidth="1"/>
  </cols>
  <sheetData>
    <row r="1" spans="1:9" ht="15.5" x14ac:dyDescent="0.35">
      <c r="A1" s="154" t="s">
        <v>147</v>
      </c>
      <c r="B1" s="85"/>
      <c r="C1" s="7"/>
      <c r="D1" s="6"/>
      <c r="E1" s="6"/>
      <c r="F1" s="81"/>
      <c r="G1" s="8"/>
    </row>
    <row r="2" spans="1:9" x14ac:dyDescent="0.35">
      <c r="A2" s="211"/>
      <c r="G2" s="10"/>
    </row>
    <row r="3" spans="1:9" ht="26" x14ac:dyDescent="0.35">
      <c r="A3" s="155" t="s">
        <v>15</v>
      </c>
      <c r="B3" s="87" t="s">
        <v>0</v>
      </c>
      <c r="C3" s="12" t="s">
        <v>16</v>
      </c>
      <c r="D3" s="11" t="s">
        <v>17</v>
      </c>
      <c r="E3" s="11" t="s">
        <v>18</v>
      </c>
      <c r="F3" s="83" t="s">
        <v>2</v>
      </c>
      <c r="G3" s="13" t="s">
        <v>19</v>
      </c>
    </row>
    <row r="4" spans="1:9" s="14" customFormat="1" thickBot="1" x14ac:dyDescent="0.35">
      <c r="A4" s="212"/>
      <c r="B4" s="88">
        <v>45383</v>
      </c>
      <c r="C4" s="156"/>
      <c r="D4" s="2"/>
      <c r="E4" s="2" t="s">
        <v>153</v>
      </c>
      <c r="F4" s="84">
        <v>10575.47</v>
      </c>
      <c r="G4" s="190">
        <f>F4</f>
        <v>10575.47</v>
      </c>
      <c r="I4" s="104"/>
    </row>
    <row r="5" spans="1:9" s="14" customFormat="1" ht="14" x14ac:dyDescent="0.3">
      <c r="A5" s="191" t="s">
        <v>217</v>
      </c>
      <c r="B5" s="199">
        <v>45387</v>
      </c>
      <c r="C5" s="182" t="s">
        <v>188</v>
      </c>
      <c r="D5" s="200" t="s">
        <v>170</v>
      </c>
      <c r="E5" s="200" t="s">
        <v>189</v>
      </c>
      <c r="F5" s="201">
        <v>50</v>
      </c>
      <c r="G5" s="185">
        <f>G4+F5</f>
        <v>10625.47</v>
      </c>
      <c r="H5" s="4"/>
      <c r="I5" s="102"/>
    </row>
    <row r="6" spans="1:9" x14ac:dyDescent="0.35">
      <c r="A6" s="163"/>
      <c r="B6" s="88"/>
      <c r="C6" s="156" t="s">
        <v>188</v>
      </c>
      <c r="D6" s="94" t="s">
        <v>125</v>
      </c>
      <c r="E6" s="94" t="s">
        <v>190</v>
      </c>
      <c r="F6" s="95">
        <v>4075</v>
      </c>
      <c r="G6" s="3">
        <f t="shared" ref="G6:G75" si="0">G5+F6</f>
        <v>14700.47</v>
      </c>
      <c r="H6" s="4"/>
      <c r="I6" s="4"/>
    </row>
    <row r="7" spans="1:9" ht="15" thickBot="1" x14ac:dyDescent="0.4">
      <c r="A7" s="231"/>
      <c r="B7" s="186">
        <v>45390</v>
      </c>
      <c r="C7" s="187" t="s">
        <v>188</v>
      </c>
      <c r="D7" s="241">
        <v>45390</v>
      </c>
      <c r="E7" s="202" t="s">
        <v>191</v>
      </c>
      <c r="F7" s="203">
        <v>-264.62</v>
      </c>
      <c r="G7" s="190">
        <f t="shared" si="0"/>
        <v>14435.849999999999</v>
      </c>
      <c r="H7" s="4"/>
      <c r="I7" s="4"/>
    </row>
    <row r="8" spans="1:9" ht="15" thickBot="1" x14ac:dyDescent="0.4">
      <c r="A8" s="232"/>
      <c r="B8" s="103"/>
      <c r="C8" s="187" t="s">
        <v>188</v>
      </c>
      <c r="D8" s="78" t="s">
        <v>159</v>
      </c>
      <c r="E8" s="162" t="s">
        <v>160</v>
      </c>
      <c r="F8" s="201">
        <v>-148.22999999999999</v>
      </c>
      <c r="G8" s="185">
        <f t="shared" si="0"/>
        <v>14287.619999999999</v>
      </c>
      <c r="H8" s="4"/>
      <c r="I8" s="4"/>
    </row>
    <row r="9" spans="1:9" ht="15" thickBot="1" x14ac:dyDescent="0.4">
      <c r="A9" s="232"/>
      <c r="B9" s="103"/>
      <c r="C9" s="187" t="s">
        <v>188</v>
      </c>
      <c r="D9" s="78" t="s">
        <v>192</v>
      </c>
      <c r="E9" s="162" t="s">
        <v>193</v>
      </c>
      <c r="F9" s="84">
        <v>-364.19</v>
      </c>
      <c r="G9" s="185">
        <f t="shared" si="0"/>
        <v>13923.429999999998</v>
      </c>
      <c r="H9" s="4"/>
      <c r="I9" s="4"/>
    </row>
    <row r="10" spans="1:9" ht="15" thickBot="1" x14ac:dyDescent="0.4">
      <c r="A10" s="232"/>
      <c r="B10" s="103"/>
      <c r="C10" s="187" t="s">
        <v>188</v>
      </c>
      <c r="D10" s="78" t="s">
        <v>157</v>
      </c>
      <c r="E10" s="162" t="s">
        <v>194</v>
      </c>
      <c r="F10" s="84">
        <v>-210.6</v>
      </c>
      <c r="G10" s="185">
        <f t="shared" si="0"/>
        <v>13712.829999999998</v>
      </c>
      <c r="H10" s="4"/>
      <c r="I10" s="4"/>
    </row>
    <row r="11" spans="1:9" ht="15" thickBot="1" x14ac:dyDescent="0.4">
      <c r="A11" s="232"/>
      <c r="B11" s="103"/>
      <c r="C11" s="187" t="s">
        <v>188</v>
      </c>
      <c r="D11" s="78" t="s">
        <v>155</v>
      </c>
      <c r="E11" s="162" t="s">
        <v>195</v>
      </c>
      <c r="F11" s="84">
        <v>-2.95</v>
      </c>
      <c r="G11" s="185">
        <f t="shared" si="0"/>
        <v>13709.879999999997</v>
      </c>
      <c r="H11" s="4"/>
      <c r="I11" s="4"/>
    </row>
    <row r="12" spans="1:9" ht="15" thickBot="1" x14ac:dyDescent="0.4">
      <c r="A12" s="243"/>
      <c r="B12" s="205">
        <v>45400</v>
      </c>
      <c r="C12" s="187" t="s">
        <v>188</v>
      </c>
      <c r="D12" s="206" t="s">
        <v>177</v>
      </c>
      <c r="E12" s="207" t="s">
        <v>189</v>
      </c>
      <c r="F12" s="189">
        <v>50</v>
      </c>
      <c r="G12" s="208">
        <f t="shared" si="0"/>
        <v>13759.879999999997</v>
      </c>
      <c r="H12" s="4"/>
      <c r="I12" s="4"/>
    </row>
    <row r="13" spans="1:9" ht="15" thickBot="1" x14ac:dyDescent="0.4">
      <c r="A13" s="214" t="s">
        <v>219</v>
      </c>
      <c r="B13" s="242">
        <v>45427</v>
      </c>
      <c r="C13" s="187" t="s">
        <v>188</v>
      </c>
      <c r="D13" s="78" t="s">
        <v>125</v>
      </c>
      <c r="E13" s="162" t="s">
        <v>178</v>
      </c>
      <c r="F13" s="201">
        <v>-65.58</v>
      </c>
      <c r="G13" s="208">
        <f t="shared" si="0"/>
        <v>13694.299999999997</v>
      </c>
      <c r="H13" s="4"/>
      <c r="I13" s="4"/>
    </row>
    <row r="14" spans="1:9" ht="15" thickBot="1" x14ac:dyDescent="0.4">
      <c r="A14" s="232"/>
      <c r="B14" s="242">
        <v>45427</v>
      </c>
      <c r="C14" s="187" t="s">
        <v>188</v>
      </c>
      <c r="D14" s="78" t="s">
        <v>161</v>
      </c>
      <c r="E14" s="78" t="s">
        <v>209</v>
      </c>
      <c r="F14" s="201">
        <v>-364.19</v>
      </c>
      <c r="G14" s="208">
        <f t="shared" si="0"/>
        <v>13330.109999999997</v>
      </c>
      <c r="H14" s="4"/>
      <c r="I14" s="4"/>
    </row>
    <row r="15" spans="1:9" ht="15" thickBot="1" x14ac:dyDescent="0.4">
      <c r="A15" s="232"/>
      <c r="B15" s="242">
        <v>45427</v>
      </c>
      <c r="C15" s="187" t="s">
        <v>188</v>
      </c>
      <c r="D15" s="78" t="s">
        <v>155</v>
      </c>
      <c r="E15" s="162" t="s">
        <v>172</v>
      </c>
      <c r="F15" s="201">
        <v>-252.82</v>
      </c>
      <c r="G15" s="208">
        <f t="shared" si="0"/>
        <v>13077.289999999997</v>
      </c>
      <c r="H15" s="4"/>
      <c r="I15" s="4"/>
    </row>
    <row r="16" spans="1:9" ht="15" thickBot="1" x14ac:dyDescent="0.4">
      <c r="A16" s="232"/>
      <c r="B16" s="242">
        <v>45427</v>
      </c>
      <c r="C16" s="187" t="s">
        <v>188</v>
      </c>
      <c r="D16" s="78" t="s">
        <v>173</v>
      </c>
      <c r="E16" s="162" t="s">
        <v>174</v>
      </c>
      <c r="F16" s="201">
        <v>-60</v>
      </c>
      <c r="G16" s="208">
        <f t="shared" si="0"/>
        <v>13017.289999999997</v>
      </c>
      <c r="H16" s="4"/>
      <c r="I16" s="4"/>
    </row>
    <row r="17" spans="1:9" ht="15" thickBot="1" x14ac:dyDescent="0.4">
      <c r="A17" s="214"/>
      <c r="B17" s="242">
        <v>45427</v>
      </c>
      <c r="C17" s="187" t="s">
        <v>188</v>
      </c>
      <c r="D17" s="78" t="s">
        <v>125</v>
      </c>
      <c r="E17" s="78" t="s">
        <v>184</v>
      </c>
      <c r="F17" s="201">
        <v>-65.58</v>
      </c>
      <c r="G17" s="208">
        <f t="shared" si="0"/>
        <v>12951.709999999997</v>
      </c>
      <c r="H17" s="4"/>
      <c r="I17" s="4"/>
    </row>
    <row r="18" spans="1:9" ht="15" thickBot="1" x14ac:dyDescent="0.4">
      <c r="A18" s="209"/>
      <c r="B18" s="242">
        <v>45427</v>
      </c>
      <c r="C18" s="187" t="s">
        <v>188</v>
      </c>
      <c r="D18" s="78" t="s">
        <v>180</v>
      </c>
      <c r="E18" s="162" t="s">
        <v>179</v>
      </c>
      <c r="F18" s="201">
        <v>-19</v>
      </c>
      <c r="G18" s="208">
        <f t="shared" si="0"/>
        <v>12932.709999999997</v>
      </c>
      <c r="H18" s="4"/>
      <c r="I18" s="4"/>
    </row>
    <row r="19" spans="1:9" ht="15" thickBot="1" x14ac:dyDescent="0.4">
      <c r="A19" s="191"/>
      <c r="B19" s="242">
        <v>45427</v>
      </c>
      <c r="C19" s="187" t="s">
        <v>188</v>
      </c>
      <c r="D19" s="78" t="s">
        <v>155</v>
      </c>
      <c r="E19" s="78" t="s">
        <v>181</v>
      </c>
      <c r="F19" s="201">
        <v>-22.78</v>
      </c>
      <c r="G19" s="208">
        <f t="shared" si="0"/>
        <v>12909.929999999997</v>
      </c>
      <c r="H19" s="4"/>
      <c r="I19" s="4"/>
    </row>
    <row r="20" spans="1:9" ht="15" thickBot="1" x14ac:dyDescent="0.4">
      <c r="A20" s="163"/>
      <c r="B20" s="242">
        <v>45427</v>
      </c>
      <c r="C20" s="187" t="s">
        <v>188</v>
      </c>
      <c r="D20" s="180" t="s">
        <v>182</v>
      </c>
      <c r="E20" s="78" t="s">
        <v>183</v>
      </c>
      <c r="F20" s="201">
        <v>-70</v>
      </c>
      <c r="G20" s="208">
        <f t="shared" si="0"/>
        <v>12839.929999999997</v>
      </c>
      <c r="H20" s="4"/>
      <c r="I20" s="4"/>
    </row>
    <row r="21" spans="1:9" ht="15" thickBot="1" x14ac:dyDescent="0.4">
      <c r="A21" s="163"/>
      <c r="B21" s="242">
        <v>45427</v>
      </c>
      <c r="C21" s="187" t="s">
        <v>188</v>
      </c>
      <c r="D21" s="78" t="s">
        <v>161</v>
      </c>
      <c r="E21" s="162" t="s">
        <v>210</v>
      </c>
      <c r="F21" s="201">
        <v>-364.19</v>
      </c>
      <c r="G21" s="208">
        <f t="shared" si="0"/>
        <v>12475.739999999996</v>
      </c>
      <c r="H21" s="4"/>
      <c r="I21" s="4"/>
    </row>
    <row r="22" spans="1:9" ht="15" thickBot="1" x14ac:dyDescent="0.4">
      <c r="A22" s="192"/>
      <c r="B22" s="246">
        <v>45427</v>
      </c>
      <c r="C22" s="187" t="s">
        <v>188</v>
      </c>
      <c r="D22" s="206" t="s">
        <v>185</v>
      </c>
      <c r="E22" s="207" t="s">
        <v>12</v>
      </c>
      <c r="F22" s="245">
        <v>-469.22</v>
      </c>
      <c r="G22" s="208">
        <f t="shared" si="0"/>
        <v>12006.519999999997</v>
      </c>
      <c r="H22" s="4"/>
      <c r="I22" s="4"/>
    </row>
    <row r="23" spans="1:9" ht="15" thickBot="1" x14ac:dyDescent="0.4">
      <c r="A23" s="191" t="s">
        <v>218</v>
      </c>
      <c r="B23" s="181">
        <v>45446</v>
      </c>
      <c r="C23" s="210" t="s">
        <v>188</v>
      </c>
      <c r="D23" s="244" t="s">
        <v>180</v>
      </c>
      <c r="E23" s="244" t="s">
        <v>179</v>
      </c>
      <c r="F23" s="201">
        <v>-178</v>
      </c>
      <c r="G23" s="208">
        <f t="shared" si="0"/>
        <v>11828.519999999997</v>
      </c>
      <c r="H23" s="4"/>
      <c r="I23" s="4"/>
    </row>
    <row r="24" spans="1:9" ht="15" thickBot="1" x14ac:dyDescent="0.4">
      <c r="A24" s="163"/>
      <c r="B24" s="88">
        <v>45446</v>
      </c>
      <c r="C24" s="187" t="s">
        <v>188</v>
      </c>
      <c r="D24" s="78" t="s">
        <v>196</v>
      </c>
      <c r="E24" s="162" t="s">
        <v>197</v>
      </c>
      <c r="F24" s="201">
        <v>-529</v>
      </c>
      <c r="G24" s="208">
        <f t="shared" si="0"/>
        <v>11299.519999999997</v>
      </c>
      <c r="H24" s="4"/>
      <c r="I24" s="4"/>
    </row>
    <row r="25" spans="1:9" ht="15" thickBot="1" x14ac:dyDescent="0.4">
      <c r="A25" s="192"/>
      <c r="B25" s="186">
        <v>45446</v>
      </c>
      <c r="C25" s="187" t="s">
        <v>188</v>
      </c>
      <c r="D25" s="206" t="s">
        <v>155</v>
      </c>
      <c r="E25" s="207" t="s">
        <v>199</v>
      </c>
      <c r="F25" s="245">
        <v>-251.02</v>
      </c>
      <c r="G25" s="208">
        <f t="shared" si="0"/>
        <v>11048.499999999996</v>
      </c>
      <c r="H25" s="4"/>
      <c r="I25" s="4"/>
    </row>
    <row r="26" spans="1:9" x14ac:dyDescent="0.35">
      <c r="A26" s="191" t="s">
        <v>226</v>
      </c>
      <c r="B26" s="181">
        <v>45478</v>
      </c>
      <c r="C26" s="182" t="s">
        <v>188</v>
      </c>
      <c r="D26" s="183" t="s">
        <v>125</v>
      </c>
      <c r="E26" s="183" t="s">
        <v>225</v>
      </c>
      <c r="F26" s="184">
        <v>3911</v>
      </c>
      <c r="G26" s="185">
        <f t="shared" si="0"/>
        <v>14959.499999999996</v>
      </c>
      <c r="H26" s="4"/>
      <c r="I26" s="4"/>
    </row>
    <row r="27" spans="1:9" x14ac:dyDescent="0.35">
      <c r="A27" s="163"/>
      <c r="B27" s="88">
        <v>45483</v>
      </c>
      <c r="C27" s="182" t="s">
        <v>188</v>
      </c>
      <c r="D27" s="2" t="s">
        <v>201</v>
      </c>
      <c r="E27" s="2" t="s">
        <v>202</v>
      </c>
      <c r="F27" s="84">
        <v>-320</v>
      </c>
      <c r="G27" s="3">
        <f t="shared" si="0"/>
        <v>14639.499999999996</v>
      </c>
      <c r="H27" s="4"/>
      <c r="I27" s="4"/>
    </row>
    <row r="28" spans="1:9" x14ac:dyDescent="0.35">
      <c r="A28" s="215"/>
      <c r="B28" s="88">
        <v>45483</v>
      </c>
      <c r="C28" s="182" t="s">
        <v>188</v>
      </c>
      <c r="D28" s="2" t="s">
        <v>161</v>
      </c>
      <c r="E28" s="2" t="s">
        <v>211</v>
      </c>
      <c r="F28" s="84">
        <v>-364.19</v>
      </c>
      <c r="G28" s="3">
        <f t="shared" si="0"/>
        <v>14275.309999999996</v>
      </c>
      <c r="H28" s="4"/>
      <c r="I28" s="4"/>
    </row>
    <row r="29" spans="1:9" x14ac:dyDescent="0.35">
      <c r="A29" s="215"/>
      <c r="B29" s="88">
        <v>45483</v>
      </c>
      <c r="C29" s="182" t="s">
        <v>188</v>
      </c>
      <c r="D29" s="2" t="s">
        <v>155</v>
      </c>
      <c r="E29" s="2" t="s">
        <v>203</v>
      </c>
      <c r="F29" s="84">
        <v>-343.82</v>
      </c>
      <c r="G29" s="3">
        <f t="shared" si="0"/>
        <v>13931.489999999996</v>
      </c>
      <c r="H29" s="4"/>
      <c r="I29" s="4"/>
    </row>
    <row r="30" spans="1:9" x14ac:dyDescent="0.35">
      <c r="A30" s="215"/>
      <c r="B30" s="88">
        <v>45483</v>
      </c>
      <c r="C30" s="182" t="s">
        <v>188</v>
      </c>
      <c r="D30" s="2" t="s">
        <v>173</v>
      </c>
      <c r="E30" s="2" t="s">
        <v>174</v>
      </c>
      <c r="F30" s="84">
        <v>-60</v>
      </c>
      <c r="G30" s="3">
        <f t="shared" si="0"/>
        <v>13871.489999999996</v>
      </c>
      <c r="H30" s="4"/>
      <c r="I30" s="4"/>
    </row>
    <row r="31" spans="1:9" s="158" customFormat="1" x14ac:dyDescent="0.35">
      <c r="A31" s="163"/>
      <c r="B31" s="88">
        <v>45483</v>
      </c>
      <c r="C31" s="182" t="s">
        <v>188</v>
      </c>
      <c r="D31" s="2" t="s">
        <v>161</v>
      </c>
      <c r="E31" s="2" t="s">
        <v>212</v>
      </c>
      <c r="F31" s="84">
        <v>-364.19</v>
      </c>
      <c r="G31" s="3">
        <f t="shared" si="0"/>
        <v>13507.299999999996</v>
      </c>
      <c r="H31" s="157"/>
      <c r="I31" s="157"/>
    </row>
    <row r="32" spans="1:9" x14ac:dyDescent="0.35">
      <c r="A32" s="163"/>
      <c r="B32" s="88">
        <v>45483</v>
      </c>
      <c r="C32" s="182" t="s">
        <v>188</v>
      </c>
      <c r="D32" s="2" t="s">
        <v>157</v>
      </c>
      <c r="E32" s="2" t="s">
        <v>158</v>
      </c>
      <c r="F32" s="84">
        <v>-93.8</v>
      </c>
      <c r="G32" s="3">
        <f t="shared" si="0"/>
        <v>13413.499999999996</v>
      </c>
      <c r="H32" s="4"/>
      <c r="I32" s="4"/>
    </row>
    <row r="33" spans="1:9" x14ac:dyDescent="0.35">
      <c r="A33" s="216"/>
      <c r="B33" s="88">
        <v>45483</v>
      </c>
      <c r="C33" s="182" t="s">
        <v>188</v>
      </c>
      <c r="D33" s="2" t="s">
        <v>125</v>
      </c>
      <c r="E33" s="2" t="s">
        <v>204</v>
      </c>
      <c r="F33" s="84">
        <v>-155.58000000000001</v>
      </c>
      <c r="G33" s="3">
        <f t="shared" si="0"/>
        <v>13257.919999999996</v>
      </c>
      <c r="H33" s="4"/>
      <c r="I33" s="4"/>
    </row>
    <row r="34" spans="1:9" x14ac:dyDescent="0.35">
      <c r="A34" s="163"/>
      <c r="B34" s="88">
        <v>45483</v>
      </c>
      <c r="C34" s="182" t="s">
        <v>188</v>
      </c>
      <c r="D34" s="2" t="s">
        <v>205</v>
      </c>
      <c r="E34" s="2" t="s">
        <v>206</v>
      </c>
      <c r="F34" s="84">
        <v>-104.34</v>
      </c>
      <c r="G34" s="3">
        <f t="shared" si="0"/>
        <v>13153.579999999996</v>
      </c>
      <c r="H34" s="4"/>
      <c r="I34" s="4"/>
    </row>
    <row r="35" spans="1:9" x14ac:dyDescent="0.35">
      <c r="A35" s="163"/>
      <c r="B35" s="88">
        <v>45483</v>
      </c>
      <c r="C35" s="156" t="s">
        <v>188</v>
      </c>
      <c r="D35" s="2" t="s">
        <v>125</v>
      </c>
      <c r="E35" s="2" t="s">
        <v>220</v>
      </c>
      <c r="F35" s="84">
        <v>-65.58</v>
      </c>
      <c r="G35" s="3">
        <f t="shared" si="0"/>
        <v>13087.999999999996</v>
      </c>
      <c r="H35" s="4"/>
      <c r="I35" s="4"/>
    </row>
    <row r="36" spans="1:9" ht="15" thickBot="1" x14ac:dyDescent="0.4">
      <c r="A36" s="192"/>
      <c r="B36" s="186">
        <v>45489</v>
      </c>
      <c r="C36" s="187" t="s">
        <v>188</v>
      </c>
      <c r="D36" s="188" t="s">
        <v>213</v>
      </c>
      <c r="E36" s="188" t="s">
        <v>214</v>
      </c>
      <c r="F36" s="189">
        <v>-79.989999999999995</v>
      </c>
      <c r="G36" s="190">
        <f t="shared" si="0"/>
        <v>13008.009999999997</v>
      </c>
      <c r="H36" s="4"/>
      <c r="I36" s="4"/>
    </row>
    <row r="37" spans="1:9" x14ac:dyDescent="0.35">
      <c r="A37" s="191" t="s">
        <v>257</v>
      </c>
      <c r="B37" s="181">
        <v>45512</v>
      </c>
      <c r="C37" s="182" t="s">
        <v>188</v>
      </c>
      <c r="D37" s="183" t="s">
        <v>161</v>
      </c>
      <c r="E37" s="183" t="s">
        <v>234</v>
      </c>
      <c r="F37" s="184">
        <v>-364.19</v>
      </c>
      <c r="G37" s="185">
        <f t="shared" si="0"/>
        <v>12643.819999999996</v>
      </c>
      <c r="H37" s="4"/>
      <c r="I37" s="4"/>
    </row>
    <row r="38" spans="1:9" x14ac:dyDescent="0.35">
      <c r="A38" s="163"/>
      <c r="B38" s="88"/>
      <c r="C38" s="156" t="s">
        <v>188</v>
      </c>
      <c r="D38" s="2" t="s">
        <v>155</v>
      </c>
      <c r="E38" s="2" t="s">
        <v>215</v>
      </c>
      <c r="F38" s="84">
        <v>-282.62</v>
      </c>
      <c r="G38" s="3">
        <f t="shared" si="0"/>
        <v>12361.199999999995</v>
      </c>
      <c r="H38" s="4"/>
      <c r="I38" s="4"/>
    </row>
    <row r="39" spans="1:9" x14ac:dyDescent="0.35">
      <c r="A39" s="163"/>
      <c r="B39" s="88"/>
      <c r="C39" s="156" t="s">
        <v>188</v>
      </c>
      <c r="D39" s="2" t="s">
        <v>221</v>
      </c>
      <c r="E39" s="2" t="s">
        <v>235</v>
      </c>
      <c r="F39" s="84">
        <v>-15</v>
      </c>
      <c r="G39" s="3">
        <f t="shared" si="0"/>
        <v>12346.199999999995</v>
      </c>
      <c r="H39" s="4"/>
      <c r="I39" s="4"/>
    </row>
    <row r="40" spans="1:9" ht="15" thickBot="1" x14ac:dyDescent="0.4">
      <c r="A40" s="192"/>
      <c r="B40" s="186">
        <v>45517</v>
      </c>
      <c r="C40" s="187" t="s">
        <v>188</v>
      </c>
      <c r="D40" s="188" t="s">
        <v>125</v>
      </c>
      <c r="E40" s="188" t="s">
        <v>236</v>
      </c>
      <c r="F40" s="189">
        <v>-65.58</v>
      </c>
      <c r="G40" s="190">
        <f t="shared" si="0"/>
        <v>12280.619999999995</v>
      </c>
      <c r="H40" s="4"/>
      <c r="I40" s="4"/>
    </row>
    <row r="41" spans="1:9" s="220" customFormat="1" x14ac:dyDescent="0.35">
      <c r="A41" s="191" t="s">
        <v>261</v>
      </c>
      <c r="B41" s="181">
        <v>45546</v>
      </c>
      <c r="C41" s="182" t="s">
        <v>188</v>
      </c>
      <c r="D41" s="183" t="s">
        <v>173</v>
      </c>
      <c r="E41" s="183" t="s">
        <v>174</v>
      </c>
      <c r="F41" s="184">
        <v>-60</v>
      </c>
      <c r="G41" s="185">
        <f t="shared" si="0"/>
        <v>12220.619999999995</v>
      </c>
      <c r="H41" s="78"/>
      <c r="I41" s="78"/>
    </row>
    <row r="42" spans="1:9" x14ac:dyDescent="0.35">
      <c r="A42" s="191"/>
      <c r="B42" s="181">
        <v>45546</v>
      </c>
      <c r="C42" s="182" t="s">
        <v>188</v>
      </c>
      <c r="D42" s="183" t="s">
        <v>125</v>
      </c>
      <c r="E42" s="183" t="s">
        <v>228</v>
      </c>
      <c r="F42" s="184">
        <v>-65.58</v>
      </c>
      <c r="G42" s="185">
        <f t="shared" si="0"/>
        <v>12155.039999999995</v>
      </c>
      <c r="H42" s="4"/>
      <c r="I42" s="4"/>
    </row>
    <row r="43" spans="1:9" x14ac:dyDescent="0.35">
      <c r="A43" s="163"/>
      <c r="B43" s="181">
        <v>45546</v>
      </c>
      <c r="C43" s="182" t="s">
        <v>188</v>
      </c>
      <c r="D43" s="2" t="s">
        <v>161</v>
      </c>
      <c r="E43" s="2" t="s">
        <v>262</v>
      </c>
      <c r="F43" s="84">
        <v>-364.19</v>
      </c>
      <c r="G43" s="3">
        <f t="shared" si="0"/>
        <v>11790.849999999995</v>
      </c>
      <c r="H43" s="4"/>
      <c r="I43" s="4"/>
    </row>
    <row r="44" spans="1:9" x14ac:dyDescent="0.35">
      <c r="A44" s="163"/>
      <c r="B44" s="181">
        <v>45546</v>
      </c>
      <c r="C44" s="182" t="s">
        <v>188</v>
      </c>
      <c r="D44" s="2" t="s">
        <v>155</v>
      </c>
      <c r="E44" s="2" t="s">
        <v>229</v>
      </c>
      <c r="F44" s="84">
        <v>-282.42</v>
      </c>
      <c r="G44" s="3">
        <f t="shared" si="0"/>
        <v>11508.429999999995</v>
      </c>
      <c r="H44" s="4"/>
      <c r="I44" s="4"/>
    </row>
    <row r="45" spans="1:9" x14ac:dyDescent="0.35">
      <c r="A45" s="163"/>
      <c r="B45" s="88">
        <v>45547</v>
      </c>
      <c r="C45" s="156" t="s">
        <v>223</v>
      </c>
      <c r="D45" s="2" t="s">
        <v>263</v>
      </c>
      <c r="E45" s="2" t="s">
        <v>264</v>
      </c>
      <c r="F45" s="84">
        <v>-35</v>
      </c>
      <c r="G45" s="3">
        <f t="shared" si="0"/>
        <v>11473.429999999995</v>
      </c>
      <c r="H45" s="4"/>
      <c r="I45" s="4"/>
    </row>
    <row r="46" spans="1:9" x14ac:dyDescent="0.35">
      <c r="A46" s="163"/>
      <c r="B46" s="88">
        <v>45551</v>
      </c>
      <c r="C46" s="156" t="s">
        <v>188</v>
      </c>
      <c r="D46" s="2" t="s">
        <v>157</v>
      </c>
      <c r="E46" s="2" t="s">
        <v>251</v>
      </c>
      <c r="F46" s="84">
        <v>553.23</v>
      </c>
      <c r="G46" s="3">
        <f t="shared" si="0"/>
        <v>12026.659999999994</v>
      </c>
      <c r="H46" s="4"/>
      <c r="I46" s="4"/>
    </row>
    <row r="47" spans="1:9" x14ac:dyDescent="0.35">
      <c r="A47" s="163"/>
      <c r="B47" s="88">
        <v>45562</v>
      </c>
      <c r="C47" s="156" t="s">
        <v>265</v>
      </c>
      <c r="D47" s="2" t="s">
        <v>266</v>
      </c>
      <c r="E47" s="2" t="s">
        <v>267</v>
      </c>
      <c r="F47" s="84">
        <v>518</v>
      </c>
      <c r="G47" s="3">
        <f t="shared" si="0"/>
        <v>12544.659999999994</v>
      </c>
      <c r="H47" s="4"/>
      <c r="I47" s="4"/>
    </row>
    <row r="48" spans="1:9" x14ac:dyDescent="0.35">
      <c r="A48" s="163"/>
      <c r="B48" s="88">
        <v>45566</v>
      </c>
      <c r="C48" s="156" t="s">
        <v>188</v>
      </c>
      <c r="D48" s="2" t="s">
        <v>155</v>
      </c>
      <c r="E48" s="2" t="s">
        <v>239</v>
      </c>
      <c r="F48" s="84">
        <v>-282.62</v>
      </c>
      <c r="G48" s="3">
        <f t="shared" si="0"/>
        <v>12262.039999999994</v>
      </c>
      <c r="H48" s="4"/>
      <c r="I48" s="4"/>
    </row>
    <row r="49" spans="1:9" x14ac:dyDescent="0.35">
      <c r="A49" s="163"/>
      <c r="B49" s="88">
        <v>45566</v>
      </c>
      <c r="C49" s="156" t="s">
        <v>188</v>
      </c>
      <c r="D49" s="2" t="s">
        <v>161</v>
      </c>
      <c r="E49" s="2" t="s">
        <v>268</v>
      </c>
      <c r="F49" s="84">
        <v>-364.19</v>
      </c>
      <c r="G49" s="3">
        <f t="shared" si="0"/>
        <v>11897.849999999993</v>
      </c>
      <c r="H49" s="4"/>
      <c r="I49" s="4"/>
    </row>
    <row r="50" spans="1:9" x14ac:dyDescent="0.35">
      <c r="A50" s="163"/>
      <c r="B50" s="88">
        <v>45566</v>
      </c>
      <c r="C50" s="156" t="s">
        <v>188</v>
      </c>
      <c r="D50" s="2" t="s">
        <v>155</v>
      </c>
      <c r="E50" s="2" t="s">
        <v>237</v>
      </c>
      <c r="F50" s="84">
        <v>-0.85</v>
      </c>
      <c r="G50" s="3">
        <f t="shared" si="0"/>
        <v>11896.999999999993</v>
      </c>
      <c r="H50" s="4"/>
      <c r="I50" s="4"/>
    </row>
    <row r="51" spans="1:9" x14ac:dyDescent="0.35">
      <c r="A51" s="163"/>
      <c r="B51" s="88">
        <v>45566</v>
      </c>
      <c r="C51" s="156" t="s">
        <v>188</v>
      </c>
      <c r="D51" s="2" t="s">
        <v>155</v>
      </c>
      <c r="E51" s="2" t="s">
        <v>255</v>
      </c>
      <c r="F51" s="84">
        <v>-50</v>
      </c>
      <c r="G51" s="3">
        <f t="shared" si="0"/>
        <v>11846.999999999993</v>
      </c>
      <c r="H51" s="4"/>
      <c r="I51" s="4"/>
    </row>
    <row r="52" spans="1:9" ht="15" thickBot="1" x14ac:dyDescent="0.4">
      <c r="A52" s="192"/>
      <c r="B52" s="88">
        <v>45566</v>
      </c>
      <c r="C52" s="156" t="s">
        <v>188</v>
      </c>
      <c r="D52" s="188" t="s">
        <v>157</v>
      </c>
      <c r="E52" s="188" t="s">
        <v>158</v>
      </c>
      <c r="F52" s="189">
        <v>-93.8</v>
      </c>
      <c r="G52" s="190">
        <f t="shared" si="0"/>
        <v>11753.199999999993</v>
      </c>
      <c r="H52" s="4"/>
      <c r="I52" s="4"/>
    </row>
    <row r="53" spans="1:9" ht="15" thickBot="1" x14ac:dyDescent="0.4">
      <c r="A53" s="209" t="s">
        <v>269</v>
      </c>
      <c r="B53" s="252">
        <v>45573</v>
      </c>
      <c r="C53" s="210" t="s">
        <v>188</v>
      </c>
      <c r="D53" s="253" t="s">
        <v>125</v>
      </c>
      <c r="E53" s="253" t="s">
        <v>270</v>
      </c>
      <c r="F53" s="254">
        <v>-65.58</v>
      </c>
      <c r="G53" s="208">
        <f t="shared" si="0"/>
        <v>11687.619999999994</v>
      </c>
      <c r="H53" s="4"/>
      <c r="I53" s="4"/>
    </row>
    <row r="54" spans="1:9" x14ac:dyDescent="0.35">
      <c r="A54" s="191" t="s">
        <v>281</v>
      </c>
      <c r="B54" s="181">
        <v>45609</v>
      </c>
      <c r="C54" s="182" t="s">
        <v>188</v>
      </c>
      <c r="D54" s="78" t="s">
        <v>155</v>
      </c>
      <c r="E54" s="162" t="s">
        <v>252</v>
      </c>
      <c r="F54" s="184">
        <v>-282.62</v>
      </c>
      <c r="G54" s="185">
        <f t="shared" si="0"/>
        <v>11404.999999999993</v>
      </c>
      <c r="H54" s="4"/>
      <c r="I54" s="4"/>
    </row>
    <row r="55" spans="1:9" x14ac:dyDescent="0.35">
      <c r="A55" s="191"/>
      <c r="B55" s="181">
        <v>45609</v>
      </c>
      <c r="C55" s="182" t="s">
        <v>188</v>
      </c>
      <c r="D55" s="78" t="s">
        <v>161</v>
      </c>
      <c r="E55" s="162" t="s">
        <v>256</v>
      </c>
      <c r="F55" s="184">
        <v>-364.19</v>
      </c>
      <c r="G55" s="185">
        <f t="shared" si="0"/>
        <v>11040.809999999992</v>
      </c>
      <c r="H55" s="4"/>
      <c r="I55" s="4"/>
    </row>
    <row r="56" spans="1:9" x14ac:dyDescent="0.35">
      <c r="A56" s="191"/>
      <c r="B56" s="181">
        <v>45609</v>
      </c>
      <c r="C56" s="182" t="s">
        <v>188</v>
      </c>
      <c r="D56" s="78" t="s">
        <v>125</v>
      </c>
      <c r="E56" s="162" t="s">
        <v>253</v>
      </c>
      <c r="F56" s="184">
        <v>-65.58</v>
      </c>
      <c r="G56" s="185">
        <f t="shared" si="0"/>
        <v>10975.229999999992</v>
      </c>
      <c r="H56" s="4"/>
      <c r="I56" s="4"/>
    </row>
    <row r="57" spans="1:9" x14ac:dyDescent="0.35">
      <c r="A57" s="191"/>
      <c r="B57" s="181">
        <v>45609</v>
      </c>
      <c r="C57" s="182" t="s">
        <v>188</v>
      </c>
      <c r="D57" s="78" t="s">
        <v>173</v>
      </c>
      <c r="E57" s="162" t="s">
        <v>14</v>
      </c>
      <c r="F57" s="184">
        <v>-60</v>
      </c>
      <c r="G57" s="185">
        <f t="shared" si="0"/>
        <v>10915.229999999992</v>
      </c>
      <c r="H57" s="4"/>
      <c r="I57" s="4"/>
    </row>
    <row r="58" spans="1:9" x14ac:dyDescent="0.35">
      <c r="A58" s="163"/>
      <c r="B58" s="88">
        <v>45609</v>
      </c>
      <c r="C58" s="156" t="s">
        <v>188</v>
      </c>
      <c r="D58" s="78" t="s">
        <v>162</v>
      </c>
      <c r="E58" s="162" t="s">
        <v>254</v>
      </c>
      <c r="F58" s="84">
        <v>-3.99</v>
      </c>
      <c r="G58" s="3">
        <f t="shared" si="0"/>
        <v>10911.239999999993</v>
      </c>
      <c r="H58" s="4"/>
      <c r="I58" s="4"/>
    </row>
    <row r="59" spans="1:9" ht="15" thickBot="1" x14ac:dyDescent="0.4">
      <c r="A59" s="192"/>
      <c r="B59" s="186">
        <v>45609</v>
      </c>
      <c r="C59" s="187" t="s">
        <v>188</v>
      </c>
      <c r="D59" s="206" t="s">
        <v>260</v>
      </c>
      <c r="E59" s="207" t="s">
        <v>258</v>
      </c>
      <c r="F59" s="189">
        <v>-34.9</v>
      </c>
      <c r="G59" s="190">
        <f t="shared" si="0"/>
        <v>10876.339999999993</v>
      </c>
      <c r="H59" s="4"/>
      <c r="I59" s="4"/>
    </row>
    <row r="60" spans="1:9" x14ac:dyDescent="0.35">
      <c r="A60" s="191" t="s">
        <v>283</v>
      </c>
      <c r="B60" s="181">
        <v>45628</v>
      </c>
      <c r="C60" s="182" t="s">
        <v>188</v>
      </c>
      <c r="D60" s="244" t="s">
        <v>155</v>
      </c>
      <c r="E60" s="244" t="s">
        <v>271</v>
      </c>
      <c r="F60" s="184">
        <v>-356.79</v>
      </c>
      <c r="G60" s="185">
        <f t="shared" si="0"/>
        <v>10519.549999999992</v>
      </c>
      <c r="H60" s="4"/>
      <c r="I60" s="4"/>
    </row>
    <row r="61" spans="1:9" ht="15" thickBot="1" x14ac:dyDescent="0.4">
      <c r="A61" s="192"/>
      <c r="B61" s="186">
        <v>45628</v>
      </c>
      <c r="C61" s="187" t="s">
        <v>188</v>
      </c>
      <c r="D61" s="206" t="s">
        <v>125</v>
      </c>
      <c r="E61" s="206" t="s">
        <v>272</v>
      </c>
      <c r="F61" s="189">
        <v>-65.58</v>
      </c>
      <c r="G61" s="190">
        <f t="shared" si="0"/>
        <v>10453.969999999992</v>
      </c>
      <c r="H61" s="4"/>
      <c r="I61" s="4"/>
    </row>
    <row r="62" spans="1:9" ht="15" thickBot="1" x14ac:dyDescent="0.4">
      <c r="A62" s="191" t="s">
        <v>323</v>
      </c>
      <c r="B62" s="88">
        <v>45305</v>
      </c>
      <c r="C62" s="187" t="s">
        <v>188</v>
      </c>
      <c r="D62" s="78" t="s">
        <v>155</v>
      </c>
      <c r="E62" s="162" t="s">
        <v>277</v>
      </c>
      <c r="F62" s="184">
        <v>-323.44</v>
      </c>
      <c r="G62" s="208">
        <f t="shared" si="0"/>
        <v>10130.529999999992</v>
      </c>
      <c r="H62" s="4"/>
      <c r="I62" s="4"/>
    </row>
    <row r="63" spans="1:9" ht="15" thickBot="1" x14ac:dyDescent="0.4">
      <c r="A63" s="191"/>
      <c r="B63" s="88">
        <v>45305</v>
      </c>
      <c r="C63" s="187" t="s">
        <v>188</v>
      </c>
      <c r="D63" s="78" t="s">
        <v>125</v>
      </c>
      <c r="E63" s="162" t="s">
        <v>278</v>
      </c>
      <c r="F63" s="184">
        <v>-65.58</v>
      </c>
      <c r="G63" s="208">
        <f t="shared" si="0"/>
        <v>10064.949999999992</v>
      </c>
      <c r="H63" s="4"/>
      <c r="I63" s="4"/>
    </row>
    <row r="64" spans="1:9" x14ac:dyDescent="0.35">
      <c r="A64" s="268"/>
      <c r="B64" s="269">
        <v>45305</v>
      </c>
      <c r="C64" s="273" t="s">
        <v>188</v>
      </c>
      <c r="D64" s="270" t="s">
        <v>173</v>
      </c>
      <c r="E64" s="271" t="s">
        <v>14</v>
      </c>
      <c r="F64" s="272">
        <v>-60</v>
      </c>
      <c r="G64" s="274">
        <f t="shared" si="0"/>
        <v>10004.949999999992</v>
      </c>
      <c r="H64" s="4"/>
      <c r="I64" s="4"/>
    </row>
    <row r="65" spans="1:9" x14ac:dyDescent="0.35">
      <c r="A65" s="163"/>
      <c r="B65" s="88">
        <v>45305</v>
      </c>
      <c r="C65" s="156" t="s">
        <v>188</v>
      </c>
      <c r="D65" s="78" t="s">
        <v>279</v>
      </c>
      <c r="E65" s="162" t="s">
        <v>280</v>
      </c>
      <c r="F65" s="84">
        <v>-31.49</v>
      </c>
      <c r="G65" s="3">
        <f t="shared" si="0"/>
        <v>9973.4599999999919</v>
      </c>
      <c r="H65" s="4"/>
      <c r="I65" s="4"/>
    </row>
    <row r="66" spans="1:9" x14ac:dyDescent="0.35">
      <c r="A66" s="163"/>
      <c r="B66" s="88">
        <v>45677</v>
      </c>
      <c r="C66" s="156" t="s">
        <v>188</v>
      </c>
      <c r="D66" s="78" t="s">
        <v>157</v>
      </c>
      <c r="E66" s="162" t="s">
        <v>251</v>
      </c>
      <c r="F66" s="84">
        <v>232.31</v>
      </c>
      <c r="G66" s="3">
        <f t="shared" si="0"/>
        <v>10205.769999999991</v>
      </c>
      <c r="H66" s="4"/>
      <c r="I66" s="4"/>
    </row>
    <row r="67" spans="1:9" x14ac:dyDescent="0.35">
      <c r="A67" s="268"/>
      <c r="B67" s="275">
        <v>45305</v>
      </c>
      <c r="C67" s="276" t="s">
        <v>188</v>
      </c>
      <c r="D67" s="180" t="s">
        <v>157</v>
      </c>
      <c r="E67" s="255" t="s">
        <v>158</v>
      </c>
      <c r="F67" s="272">
        <v>-81.2</v>
      </c>
      <c r="G67" s="279">
        <f t="shared" si="0"/>
        <v>10124.569999999991</v>
      </c>
      <c r="H67" s="4"/>
      <c r="I67" s="4"/>
    </row>
    <row r="68" spans="1:9" ht="15" thickBot="1" x14ac:dyDescent="0.4">
      <c r="A68" s="192"/>
      <c r="B68" s="186">
        <v>45688</v>
      </c>
      <c r="C68" s="187" t="s">
        <v>188</v>
      </c>
      <c r="D68" s="206" t="s">
        <v>125</v>
      </c>
      <c r="E68" s="207" t="s">
        <v>322</v>
      </c>
      <c r="F68" s="189">
        <v>1842.15</v>
      </c>
      <c r="G68" s="190">
        <f t="shared" si="0"/>
        <v>11966.71999999999</v>
      </c>
      <c r="H68" s="4"/>
      <c r="I68" s="4"/>
    </row>
    <row r="69" spans="1:9" ht="15" thickBot="1" x14ac:dyDescent="0.4">
      <c r="A69" s="191" t="s">
        <v>326</v>
      </c>
      <c r="B69" s="242">
        <v>45691</v>
      </c>
      <c r="C69" s="182" t="s">
        <v>188</v>
      </c>
      <c r="D69" s="244" t="s">
        <v>155</v>
      </c>
      <c r="E69" s="267" t="s">
        <v>289</v>
      </c>
      <c r="F69" s="184">
        <v>-260.24</v>
      </c>
      <c r="G69" s="190">
        <f t="shared" si="0"/>
        <v>11706.47999999999</v>
      </c>
      <c r="H69" s="4"/>
    </row>
    <row r="70" spans="1:9" ht="15" thickBot="1" x14ac:dyDescent="0.4">
      <c r="A70" s="192"/>
      <c r="B70" s="205">
        <v>45691</v>
      </c>
      <c r="C70" s="187" t="s">
        <v>188</v>
      </c>
      <c r="D70" s="206" t="s">
        <v>125</v>
      </c>
      <c r="E70" s="207" t="s">
        <v>290</v>
      </c>
      <c r="F70" s="189">
        <v>-65.58</v>
      </c>
      <c r="G70" s="190">
        <f t="shared" si="0"/>
        <v>11640.899999999991</v>
      </c>
      <c r="H70" s="4"/>
    </row>
    <row r="71" spans="1:9" ht="15" thickBot="1" x14ac:dyDescent="0.4">
      <c r="A71" s="191" t="s">
        <v>327</v>
      </c>
      <c r="B71" s="242">
        <v>45727</v>
      </c>
      <c r="C71" s="182" t="s">
        <v>188</v>
      </c>
      <c r="D71" s="244" t="s">
        <v>155</v>
      </c>
      <c r="E71" s="267" t="s">
        <v>318</v>
      </c>
      <c r="F71" s="184">
        <v>-291.83999999999997</v>
      </c>
      <c r="G71" s="190">
        <f t="shared" si="0"/>
        <v>11349.05999999999</v>
      </c>
      <c r="H71" s="4"/>
    </row>
    <row r="72" spans="1:9" ht="15" thickBot="1" x14ac:dyDescent="0.4">
      <c r="A72" s="163"/>
      <c r="B72" s="103">
        <v>45727</v>
      </c>
      <c r="C72" s="156" t="s">
        <v>188</v>
      </c>
      <c r="D72" s="78" t="s">
        <v>125</v>
      </c>
      <c r="E72" s="162" t="s">
        <v>319</v>
      </c>
      <c r="F72" s="84">
        <v>-65.58</v>
      </c>
      <c r="G72" s="190">
        <f t="shared" si="0"/>
        <v>11283.47999999999</v>
      </c>
      <c r="H72" s="4"/>
    </row>
    <row r="73" spans="1:9" ht="15" thickBot="1" x14ac:dyDescent="0.4">
      <c r="A73" s="163"/>
      <c r="B73" s="103">
        <v>45727</v>
      </c>
      <c r="C73" s="156" t="s">
        <v>188</v>
      </c>
      <c r="D73" s="78" t="s">
        <v>173</v>
      </c>
      <c r="E73" s="162" t="s">
        <v>14</v>
      </c>
      <c r="F73" s="84">
        <v>-60</v>
      </c>
      <c r="G73" s="190">
        <f t="shared" si="0"/>
        <v>11223.47999999999</v>
      </c>
      <c r="H73" s="4"/>
    </row>
    <row r="74" spans="1:9" ht="15" thickBot="1" x14ac:dyDescent="0.4">
      <c r="A74" s="163"/>
      <c r="B74" s="103">
        <v>45727</v>
      </c>
      <c r="C74" s="156" t="s">
        <v>188</v>
      </c>
      <c r="D74" s="78" t="s">
        <v>155</v>
      </c>
      <c r="E74" s="162" t="s">
        <v>320</v>
      </c>
      <c r="F74" s="84">
        <v>-113.4</v>
      </c>
      <c r="G74" s="190">
        <f t="shared" si="0"/>
        <v>11110.079999999991</v>
      </c>
      <c r="H74" s="4"/>
    </row>
    <row r="75" spans="1:9" ht="15" thickBot="1" x14ac:dyDescent="0.4">
      <c r="A75" s="163"/>
      <c r="B75" s="103">
        <v>45727</v>
      </c>
      <c r="C75" s="156" t="s">
        <v>188</v>
      </c>
      <c r="D75" s="265" t="s">
        <v>159</v>
      </c>
      <c r="E75" s="266" t="s">
        <v>321</v>
      </c>
      <c r="F75" s="84">
        <v>-50</v>
      </c>
      <c r="G75" s="190">
        <f t="shared" si="0"/>
        <v>11060.079999999991</v>
      </c>
      <c r="H75" s="4"/>
    </row>
    <row r="76" spans="1:9" ht="15" thickBot="1" x14ac:dyDescent="0.4">
      <c r="A76" s="232"/>
      <c r="B76" s="256"/>
      <c r="C76" s="257"/>
      <c r="D76" s="78"/>
      <c r="E76" s="78"/>
      <c r="F76" s="258" t="s">
        <v>21</v>
      </c>
      <c r="G76" s="190">
        <f>G75</f>
        <v>11060.079999999991</v>
      </c>
    </row>
    <row r="77" spans="1:9" x14ac:dyDescent="0.35">
      <c r="G77" s="15"/>
    </row>
  </sheetData>
  <pageMargins left="0.7" right="0.7" top="0.75" bottom="0.75" header="0.3" footer="0.3"/>
  <pageSetup scale="3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0"/>
  <sheetViews>
    <sheetView topLeftCell="A36" zoomScaleNormal="100" workbookViewId="0">
      <selection activeCell="H39" sqref="H39"/>
    </sheetView>
  </sheetViews>
  <sheetFormatPr defaultColWidth="10" defaultRowHeight="14.5" x14ac:dyDescent="0.35"/>
  <cols>
    <col min="1" max="1" width="10.26953125" bestFit="1" customWidth="1"/>
    <col min="2" max="2" width="42" customWidth="1"/>
    <col min="3" max="3" width="12.1796875" customWidth="1"/>
    <col min="4" max="4" width="43.26953125" customWidth="1"/>
    <col min="5" max="5" width="14.54296875" customWidth="1"/>
    <col min="6" max="6" width="12.1796875" hidden="1" customWidth="1"/>
    <col min="8" max="8" width="19.453125" customWidth="1"/>
    <col min="9" max="9" width="18.26953125" customWidth="1"/>
  </cols>
  <sheetData>
    <row r="1" spans="1:8" ht="20" x14ac:dyDescent="0.4">
      <c r="A1" s="16"/>
      <c r="B1" s="17" t="s">
        <v>22</v>
      </c>
      <c r="C1" s="18"/>
      <c r="D1" s="18"/>
      <c r="E1" s="18"/>
      <c r="F1" s="18"/>
      <c r="G1" s="18"/>
    </row>
    <row r="2" spans="1:8" ht="20" x14ac:dyDescent="0.4">
      <c r="A2" s="16"/>
      <c r="B2" s="17"/>
      <c r="C2" s="18"/>
      <c r="D2" s="18"/>
      <c r="E2" s="18"/>
      <c r="F2" s="18"/>
      <c r="G2" s="18"/>
    </row>
    <row r="3" spans="1:8" ht="18" x14ac:dyDescent="0.4">
      <c r="A3" s="16"/>
      <c r="B3" s="19" t="s">
        <v>148</v>
      </c>
      <c r="C3" s="20"/>
      <c r="D3" s="20"/>
      <c r="E3" s="20"/>
      <c r="F3" s="20"/>
      <c r="G3" s="20"/>
    </row>
    <row r="4" spans="1:8" ht="18" x14ac:dyDescent="0.4">
      <c r="A4" s="16"/>
      <c r="B4" s="19"/>
      <c r="C4" s="20"/>
      <c r="D4" s="20"/>
      <c r="E4" s="20"/>
      <c r="F4" s="20"/>
      <c r="G4" s="20"/>
    </row>
    <row r="5" spans="1:8" ht="18.5" thickBot="1" x14ac:dyDescent="0.45">
      <c r="A5" s="16"/>
      <c r="B5" s="21" t="s">
        <v>23</v>
      </c>
      <c r="C5" s="16"/>
      <c r="D5" s="16"/>
      <c r="E5" s="16"/>
      <c r="F5" s="16"/>
      <c r="G5" s="16"/>
    </row>
    <row r="6" spans="1:8" ht="52.5" x14ac:dyDescent="0.35">
      <c r="A6" s="16"/>
      <c r="B6" s="16"/>
      <c r="C6" s="153" t="s">
        <v>149</v>
      </c>
      <c r="D6" s="43" t="s">
        <v>43</v>
      </c>
      <c r="E6" s="40" t="s">
        <v>81</v>
      </c>
      <c r="F6" s="44" t="s">
        <v>45</v>
      </c>
      <c r="G6" s="16"/>
    </row>
    <row r="7" spans="1:8" x14ac:dyDescent="0.35">
      <c r="A7" s="16"/>
      <c r="B7" s="16"/>
      <c r="C7" s="45" t="s">
        <v>24</v>
      </c>
      <c r="D7" s="41"/>
      <c r="E7" s="42" t="s">
        <v>24</v>
      </c>
      <c r="F7" s="46" t="s">
        <v>44</v>
      </c>
      <c r="G7" s="16"/>
    </row>
    <row r="8" spans="1:8" x14ac:dyDescent="0.35">
      <c r="A8" s="16"/>
      <c r="B8" s="16"/>
      <c r="C8" s="47">
        <v>6802</v>
      </c>
      <c r="D8" s="23" t="s">
        <v>4</v>
      </c>
      <c r="E8" s="24">
        <f>'Income and Expenditure'!F14</f>
        <v>7822</v>
      </c>
      <c r="F8" s="48">
        <f>(E8-C8)/C8</f>
        <v>0.14995589532490444</v>
      </c>
      <c r="G8" s="25"/>
    </row>
    <row r="9" spans="1:8" x14ac:dyDescent="0.35">
      <c r="A9" s="16"/>
      <c r="B9" s="16"/>
      <c r="C9" s="47">
        <v>1842.15</v>
      </c>
      <c r="D9" s="23" t="s">
        <v>41</v>
      </c>
      <c r="E9" s="100">
        <f>'Income and Expenditure'!L14</f>
        <v>1842.15</v>
      </c>
      <c r="F9" s="48">
        <f t="shared" ref="F9:F11" si="0">(E9-C9)/C9</f>
        <v>0</v>
      </c>
      <c r="G9" s="25"/>
    </row>
    <row r="10" spans="1:8" x14ac:dyDescent="0.35">
      <c r="A10" s="16"/>
      <c r="B10" s="16"/>
      <c r="C10" s="195">
        <v>164</v>
      </c>
      <c r="D10" s="16" t="s">
        <v>5</v>
      </c>
      <c r="E10" s="27">
        <f>'Income and Expenditure'!G14</f>
        <v>164</v>
      </c>
      <c r="F10" s="48">
        <f t="shared" si="0"/>
        <v>0</v>
      </c>
      <c r="G10" s="25"/>
    </row>
    <row r="11" spans="1:8" x14ac:dyDescent="0.35">
      <c r="A11" s="16"/>
      <c r="B11" s="16"/>
      <c r="C11" s="47">
        <v>4824</v>
      </c>
      <c r="D11" s="23" t="s">
        <v>25</v>
      </c>
      <c r="E11" s="27">
        <f>'Income and Expenditure'!I14</f>
        <v>518</v>
      </c>
      <c r="F11" s="48">
        <f t="shared" si="0"/>
        <v>-0.892620232172471</v>
      </c>
      <c r="G11" s="25"/>
    </row>
    <row r="12" spans="1:8" x14ac:dyDescent="0.35">
      <c r="A12" s="16"/>
      <c r="B12" s="16"/>
      <c r="C12" s="47"/>
      <c r="D12" s="23" t="s">
        <v>76</v>
      </c>
      <c r="E12" s="27">
        <f>'Income and Expenditure'!K14</f>
        <v>100</v>
      </c>
      <c r="F12" s="48" t="s">
        <v>20</v>
      </c>
      <c r="G12" s="25"/>
    </row>
    <row r="13" spans="1:8" hidden="1" x14ac:dyDescent="0.35">
      <c r="A13" s="16"/>
      <c r="B13" s="16"/>
      <c r="C13" s="47"/>
      <c r="D13" s="23" t="s">
        <v>116</v>
      </c>
      <c r="E13" s="53">
        <f>'Income and Expenditure'!J14</f>
        <v>0</v>
      </c>
      <c r="F13" s="48" t="s">
        <v>20</v>
      </c>
      <c r="G13" s="25"/>
    </row>
    <row r="14" spans="1:8" x14ac:dyDescent="0.35">
      <c r="A14" s="16"/>
      <c r="B14" s="16"/>
      <c r="C14" s="47">
        <v>1603.73</v>
      </c>
      <c r="D14" s="23" t="s">
        <v>6</v>
      </c>
      <c r="E14" s="100">
        <f>'Income and Expenditure'!H14</f>
        <v>785.54</v>
      </c>
      <c r="F14" s="48" t="s">
        <v>20</v>
      </c>
      <c r="G14" s="25"/>
    </row>
    <row r="15" spans="1:8" x14ac:dyDescent="0.35">
      <c r="A15" s="16"/>
      <c r="B15" s="16"/>
      <c r="C15" s="47"/>
      <c r="D15" s="23"/>
      <c r="E15" s="27"/>
      <c r="F15" s="48" t="s">
        <v>20</v>
      </c>
      <c r="G15" s="25"/>
    </row>
    <row r="16" spans="1:8" ht="15" thickBot="1" x14ac:dyDescent="0.4">
      <c r="A16" s="16"/>
      <c r="B16" s="16"/>
      <c r="C16" s="49">
        <f>SUM(C8:C15)</f>
        <v>15235.88</v>
      </c>
      <c r="D16" s="50" t="s">
        <v>26</v>
      </c>
      <c r="E16" s="51">
        <f>SUM(E8:E15)</f>
        <v>11231.689999999999</v>
      </c>
      <c r="F16" s="52">
        <f t="shared" ref="F16" si="1">(E16-C16)/C16</f>
        <v>-0.26281317521534697</v>
      </c>
      <c r="G16" s="16"/>
      <c r="H16" s="284"/>
    </row>
    <row r="17" spans="1:7" ht="15.5" x14ac:dyDescent="0.45">
      <c r="A17" s="16"/>
      <c r="C17" s="16"/>
      <c r="D17" s="16"/>
      <c r="E17" s="16"/>
      <c r="F17" s="28"/>
      <c r="G17" s="16"/>
    </row>
    <row r="18" spans="1:7" ht="18.5" thickBot="1" x14ac:dyDescent="0.45">
      <c r="A18" s="16"/>
      <c r="B18" s="21" t="s">
        <v>27</v>
      </c>
      <c r="C18" s="16"/>
      <c r="D18" s="16"/>
      <c r="E18" s="16"/>
      <c r="F18" s="30"/>
      <c r="G18" s="16"/>
    </row>
    <row r="19" spans="1:7" ht="52.5" x14ac:dyDescent="0.35">
      <c r="A19" s="16"/>
      <c r="B19" s="16"/>
      <c r="C19" s="153" t="s">
        <v>149</v>
      </c>
      <c r="D19" s="43" t="s">
        <v>40</v>
      </c>
      <c r="E19" s="40" t="s">
        <v>81</v>
      </c>
      <c r="F19" s="44" t="s">
        <v>45</v>
      </c>
      <c r="G19" s="31"/>
    </row>
    <row r="20" spans="1:7" x14ac:dyDescent="0.35">
      <c r="A20" s="16"/>
      <c r="B20" s="16"/>
      <c r="C20" s="45" t="s">
        <v>24</v>
      </c>
      <c r="D20" s="41"/>
      <c r="E20" s="41" t="s">
        <v>24</v>
      </c>
      <c r="F20" s="46" t="s">
        <v>44</v>
      </c>
      <c r="G20" s="25"/>
    </row>
    <row r="21" spans="1:7" x14ac:dyDescent="0.35">
      <c r="A21" s="16"/>
      <c r="B21" s="16"/>
      <c r="C21" s="195">
        <v>91.65</v>
      </c>
      <c r="D21" s="23" t="s">
        <v>46</v>
      </c>
      <c r="E21" s="27">
        <f>'Income and Expenditure'!H81</f>
        <v>92.78</v>
      </c>
      <c r="F21" s="48">
        <f>(E21-C21)/C21</f>
        <v>1.2329514457173981E-2</v>
      </c>
      <c r="G21" s="25"/>
    </row>
    <row r="22" spans="1:7" x14ac:dyDescent="0.35">
      <c r="A22" s="16"/>
      <c r="B22" s="16"/>
      <c r="C22" s="195"/>
      <c r="D22" s="23" t="s">
        <v>28</v>
      </c>
      <c r="E22" s="27">
        <f>'Income and Expenditure'!I81</f>
        <v>197</v>
      </c>
      <c r="F22" s="48" t="e">
        <f t="shared" ref="F22:F40" si="2">(E22-C22)/C22</f>
        <v>#DIV/0!</v>
      </c>
      <c r="G22" s="25"/>
    </row>
    <row r="23" spans="1:7" x14ac:dyDescent="0.35">
      <c r="A23" s="16"/>
      <c r="B23" s="16"/>
      <c r="C23" s="195">
        <v>3992.48</v>
      </c>
      <c r="D23" s="23" t="s">
        <v>79</v>
      </c>
      <c r="E23" s="27">
        <f>'Income and Expenditure'!J81</f>
        <v>3954.2699999999995</v>
      </c>
      <c r="F23" s="48">
        <f t="shared" si="2"/>
        <v>-9.5704925259489058E-3</v>
      </c>
      <c r="G23" s="25"/>
    </row>
    <row r="24" spans="1:7" x14ac:dyDescent="0.35">
      <c r="A24" s="16"/>
      <c r="B24" s="16"/>
      <c r="C24" s="195">
        <v>362.49</v>
      </c>
      <c r="D24" s="23" t="s">
        <v>14</v>
      </c>
      <c r="E24" s="27">
        <f>'Income and Expenditure'!K81</f>
        <v>360</v>
      </c>
      <c r="F24" s="48">
        <f t="shared" si="2"/>
        <v>-6.8691550111727468E-3</v>
      </c>
      <c r="G24" s="25"/>
    </row>
    <row r="25" spans="1:7" x14ac:dyDescent="0.35">
      <c r="A25" s="16"/>
      <c r="B25" s="16"/>
      <c r="C25" s="195">
        <v>432.58</v>
      </c>
      <c r="D25" s="23" t="s">
        <v>12</v>
      </c>
      <c r="E25" s="27">
        <f>'Income and Expenditure'!M81</f>
        <v>469.22</v>
      </c>
      <c r="F25" s="48">
        <f t="shared" si="2"/>
        <v>8.4701095751075053E-2</v>
      </c>
      <c r="G25" s="25"/>
    </row>
    <row r="26" spans="1:7" x14ac:dyDescent="0.35">
      <c r="A26" s="16"/>
      <c r="B26" s="16"/>
      <c r="C26" s="195">
        <f>3217.16-320</f>
        <v>2897.16</v>
      </c>
      <c r="D26" s="23" t="s">
        <v>151</v>
      </c>
      <c r="E26" s="27">
        <f>'Income and Expenditure'!G81</f>
        <v>2731.41</v>
      </c>
      <c r="F26" s="48">
        <f t="shared" si="2"/>
        <v>-5.7211199933728203E-2</v>
      </c>
      <c r="G26" s="25"/>
    </row>
    <row r="27" spans="1:7" x14ac:dyDescent="0.35">
      <c r="A27" s="16"/>
      <c r="B27" s="16"/>
      <c r="C27" s="195">
        <v>1119.8499999999999</v>
      </c>
      <c r="D27" s="23" t="s">
        <v>284</v>
      </c>
      <c r="E27" s="27">
        <f>'Income and Expenditure'!L81</f>
        <v>730.79999999999984</v>
      </c>
      <c r="F27" s="48">
        <f t="shared" si="2"/>
        <v>-0.34741259990177265</v>
      </c>
      <c r="G27" s="25"/>
    </row>
    <row r="28" spans="1:7" x14ac:dyDescent="0.35">
      <c r="A28" s="16"/>
      <c r="B28" s="16"/>
      <c r="C28" s="195">
        <v>1671.06</v>
      </c>
      <c r="D28" s="23" t="s">
        <v>42</v>
      </c>
      <c r="E28" s="27">
        <f>'Income and Expenditure'!F81</f>
        <v>818.3299999999997</v>
      </c>
      <c r="F28" s="48">
        <f t="shared" si="2"/>
        <v>-0.51029286799995233</v>
      </c>
      <c r="G28" s="25"/>
    </row>
    <row r="29" spans="1:7" x14ac:dyDescent="0.35">
      <c r="A29" s="16"/>
      <c r="B29" s="16"/>
      <c r="C29" s="195">
        <v>18.32</v>
      </c>
      <c r="D29" s="23" t="s">
        <v>13</v>
      </c>
      <c r="E29" s="27">
        <f>'Income and Expenditure'!N81</f>
        <v>50</v>
      </c>
      <c r="F29" s="48">
        <f t="shared" si="2"/>
        <v>1.7292576419213974</v>
      </c>
      <c r="G29" s="25"/>
    </row>
    <row r="30" spans="1:7" x14ac:dyDescent="0.35">
      <c r="A30" s="16"/>
      <c r="B30" s="16"/>
      <c r="C30" s="195">
        <v>220.53</v>
      </c>
      <c r="D30" s="23" t="s">
        <v>92</v>
      </c>
      <c r="E30" s="27">
        <f>'Income and Expenditure'!O81</f>
        <v>738.09</v>
      </c>
      <c r="F30" s="48">
        <f t="shared" si="2"/>
        <v>2.3468915793769556</v>
      </c>
      <c r="G30" s="25"/>
    </row>
    <row r="31" spans="1:7" x14ac:dyDescent="0.35">
      <c r="A31" s="16"/>
      <c r="B31" s="16"/>
      <c r="C31" s="196">
        <v>186.81</v>
      </c>
      <c r="D31" s="91" t="s">
        <v>56</v>
      </c>
      <c r="E31" s="161">
        <f>'Income and Expenditure'!X81</f>
        <v>198.23</v>
      </c>
      <c r="F31" s="92" t="s">
        <v>20</v>
      </c>
      <c r="G31" s="25"/>
    </row>
    <row r="32" spans="1:7" x14ac:dyDescent="0.35">
      <c r="A32" s="16"/>
      <c r="B32" s="16"/>
      <c r="C32" s="196">
        <v>90</v>
      </c>
      <c r="D32" s="91" t="s">
        <v>94</v>
      </c>
      <c r="E32" s="161">
        <f>'Income and Expenditure'!R81</f>
        <v>0</v>
      </c>
      <c r="F32" s="92"/>
      <c r="G32" s="25"/>
    </row>
    <row r="33" spans="1:8" x14ac:dyDescent="0.35">
      <c r="A33" s="16"/>
      <c r="B33" s="16"/>
      <c r="C33" s="196">
        <v>0</v>
      </c>
      <c r="D33" s="91" t="s">
        <v>91</v>
      </c>
      <c r="E33" s="161">
        <f>'Income and Expenditure'!S81</f>
        <v>0</v>
      </c>
      <c r="F33" s="92"/>
      <c r="G33" s="25"/>
    </row>
    <row r="34" spans="1:8" x14ac:dyDescent="0.35">
      <c r="A34" s="16"/>
      <c r="B34" s="16"/>
      <c r="C34" s="196">
        <v>0</v>
      </c>
      <c r="D34" s="91" t="s">
        <v>80</v>
      </c>
      <c r="E34" s="161">
        <f>'Income and Expenditure'!P81</f>
        <v>86.95</v>
      </c>
      <c r="F34" s="92"/>
      <c r="G34" s="25"/>
    </row>
    <row r="35" spans="1:8" x14ac:dyDescent="0.35">
      <c r="A35" s="16"/>
      <c r="B35" s="16"/>
      <c r="C35" s="196">
        <v>118.04</v>
      </c>
      <c r="D35" s="91" t="s">
        <v>50</v>
      </c>
      <c r="E35" s="161">
        <f>'Income and Expenditure'!Q81</f>
        <v>0</v>
      </c>
      <c r="F35" s="92"/>
      <c r="G35" s="25"/>
    </row>
    <row r="36" spans="1:8" x14ac:dyDescent="0.35">
      <c r="A36" s="16"/>
      <c r="B36" s="16"/>
      <c r="C36" s="196">
        <v>4180</v>
      </c>
      <c r="D36" s="91" t="s">
        <v>130</v>
      </c>
      <c r="E36" s="161">
        <f>'Income and Expenditure'!T81</f>
        <v>0</v>
      </c>
      <c r="F36" s="92"/>
      <c r="G36" s="25"/>
    </row>
    <row r="37" spans="1:8" x14ac:dyDescent="0.35">
      <c r="A37" s="16"/>
      <c r="B37" s="16"/>
      <c r="C37" s="196">
        <v>320</v>
      </c>
      <c r="D37" s="91" t="s">
        <v>150</v>
      </c>
      <c r="E37" s="161">
        <f>'Income and Expenditure'!V81</f>
        <v>320</v>
      </c>
      <c r="F37" s="92"/>
      <c r="G37" s="25"/>
    </row>
    <row r="38" spans="1:8" x14ac:dyDescent="0.35">
      <c r="A38" s="16"/>
      <c r="B38" s="16"/>
      <c r="C38" s="196">
        <v>0</v>
      </c>
      <c r="D38" s="91" t="s">
        <v>115</v>
      </c>
      <c r="E38" s="161">
        <f>'Income and Expenditure'!U81</f>
        <v>0</v>
      </c>
      <c r="F38" s="92"/>
      <c r="G38" s="25"/>
    </row>
    <row r="39" spans="1:8" x14ac:dyDescent="0.35">
      <c r="A39" s="16"/>
      <c r="B39" s="16"/>
      <c r="C39" s="196">
        <v>0</v>
      </c>
      <c r="D39" s="91" t="s">
        <v>110</v>
      </c>
      <c r="E39" s="161">
        <f>'Income and Expenditure'!W81</f>
        <v>0</v>
      </c>
      <c r="F39" s="92"/>
      <c r="G39" s="25"/>
      <c r="H39" s="284"/>
    </row>
    <row r="40" spans="1:8" ht="15" thickBot="1" x14ac:dyDescent="0.4">
      <c r="A40" s="16"/>
      <c r="B40" s="16"/>
      <c r="C40" s="49">
        <f>SUM(C21:C39)</f>
        <v>15700.97</v>
      </c>
      <c r="D40" s="50" t="s">
        <v>29</v>
      </c>
      <c r="E40" s="51">
        <f>SUM(E21:E39)</f>
        <v>10747.08</v>
      </c>
      <c r="F40" s="52">
        <f t="shared" si="2"/>
        <v>-0.31551490130864523</v>
      </c>
      <c r="G40" s="16"/>
    </row>
    <row r="41" spans="1:8" ht="18" x14ac:dyDescent="0.4">
      <c r="A41" s="16"/>
      <c r="B41" s="21" t="s">
        <v>30</v>
      </c>
      <c r="C41" s="16"/>
      <c r="D41" s="16"/>
      <c r="E41" s="16"/>
      <c r="F41" s="16"/>
      <c r="G41" s="29"/>
    </row>
    <row r="42" spans="1:8" x14ac:dyDescent="0.35">
      <c r="A42" s="16"/>
      <c r="B42" s="16"/>
      <c r="C42" s="29"/>
      <c r="D42" s="29"/>
      <c r="E42" s="29"/>
      <c r="F42" s="29"/>
      <c r="G42" s="16"/>
    </row>
    <row r="43" spans="1:8" ht="52.5" x14ac:dyDescent="0.35">
      <c r="A43" s="16"/>
      <c r="B43" s="16"/>
      <c r="C43" s="153" t="s">
        <v>149</v>
      </c>
      <c r="D43" s="41"/>
      <c r="E43" s="40" t="s">
        <v>81</v>
      </c>
      <c r="F43" s="16"/>
      <c r="G43" s="16"/>
    </row>
    <row r="44" spans="1:8" x14ac:dyDescent="0.35">
      <c r="A44" s="16"/>
      <c r="B44" s="16"/>
      <c r="C44" s="41" t="s">
        <v>24</v>
      </c>
      <c r="D44" s="41"/>
      <c r="E44" s="41" t="s">
        <v>24</v>
      </c>
      <c r="F44" s="16"/>
      <c r="G44" s="16"/>
    </row>
    <row r="45" spans="1:8" x14ac:dyDescent="0.35">
      <c r="A45" s="16"/>
      <c r="B45" s="16"/>
      <c r="C45" s="26">
        <v>11040.56</v>
      </c>
      <c r="D45" s="22" t="s">
        <v>98</v>
      </c>
      <c r="E45" s="26">
        <f>C54</f>
        <v>10575.47</v>
      </c>
      <c r="F45" s="16"/>
      <c r="G45" s="16"/>
    </row>
    <row r="46" spans="1:8" x14ac:dyDescent="0.35">
      <c r="A46" s="16"/>
      <c r="B46" s="16"/>
      <c r="C46" s="26"/>
      <c r="D46" s="23"/>
      <c r="E46" s="26"/>
      <c r="F46" s="16"/>
      <c r="G46" s="16"/>
    </row>
    <row r="47" spans="1:8" x14ac:dyDescent="0.35">
      <c r="A47" s="16"/>
      <c r="B47" s="16"/>
      <c r="C47" s="194">
        <f>C16</f>
        <v>15235.88</v>
      </c>
      <c r="D47" s="23" t="s">
        <v>23</v>
      </c>
      <c r="E47" s="26">
        <f>'Income and Expenditure'!E14</f>
        <v>11231.689999999999</v>
      </c>
      <c r="F47" s="16"/>
      <c r="G47" s="16"/>
    </row>
    <row r="48" spans="1:8" x14ac:dyDescent="0.35">
      <c r="A48" s="93"/>
      <c r="B48" s="16"/>
      <c r="C48" s="194"/>
      <c r="D48" s="23"/>
      <c r="E48" s="26"/>
      <c r="F48" s="16"/>
      <c r="G48" s="16"/>
    </row>
    <row r="49" spans="1:9" x14ac:dyDescent="0.35">
      <c r="A49" s="16"/>
      <c r="B49" s="16"/>
      <c r="C49" s="194">
        <f>C40</f>
        <v>15700.97</v>
      </c>
      <c r="D49" s="23" t="s">
        <v>27</v>
      </c>
      <c r="E49" s="26">
        <f>'Income and Expenditure'!E81</f>
        <v>10747.079999999998</v>
      </c>
      <c r="F49" s="16"/>
      <c r="G49" s="16"/>
    </row>
    <row r="50" spans="1:9" x14ac:dyDescent="0.35">
      <c r="A50" s="16"/>
      <c r="B50" s="16"/>
      <c r="C50" s="32"/>
      <c r="D50" s="23"/>
      <c r="E50" s="26"/>
      <c r="F50" s="16"/>
      <c r="G50" s="16"/>
    </row>
    <row r="51" spans="1:9" x14ac:dyDescent="0.35">
      <c r="A51" s="93"/>
      <c r="B51" s="16"/>
      <c r="C51" s="32"/>
      <c r="D51" s="23"/>
      <c r="E51" s="26"/>
      <c r="F51" s="16"/>
      <c r="G51" s="16"/>
    </row>
    <row r="52" spans="1:9" x14ac:dyDescent="0.35">
      <c r="A52" s="16"/>
      <c r="B52" s="16"/>
      <c r="C52" s="26"/>
      <c r="D52" s="23"/>
      <c r="E52" s="26"/>
      <c r="F52" s="16"/>
      <c r="G52" s="16"/>
    </row>
    <row r="53" spans="1:9" x14ac:dyDescent="0.35">
      <c r="A53" s="16"/>
      <c r="B53" s="16"/>
      <c r="C53" s="26"/>
      <c r="D53" s="23"/>
      <c r="E53" s="26"/>
      <c r="F53" s="16"/>
      <c r="G53" s="16"/>
    </row>
    <row r="54" spans="1:9" x14ac:dyDescent="0.35">
      <c r="A54" s="16"/>
      <c r="B54" s="16"/>
      <c r="C54" s="33">
        <f>C45+C47-C49</f>
        <v>10575.47</v>
      </c>
      <c r="D54" s="22" t="s">
        <v>99</v>
      </c>
      <c r="E54" s="33">
        <f>E45+E47-E49</f>
        <v>11060.079999999998</v>
      </c>
      <c r="F54" s="16"/>
      <c r="G54" s="16"/>
    </row>
    <row r="55" spans="1:9" x14ac:dyDescent="0.35">
      <c r="A55" s="16"/>
      <c r="B55" s="16"/>
      <c r="C55" s="114"/>
      <c r="D55" s="29"/>
      <c r="E55" s="114"/>
      <c r="F55" s="16"/>
      <c r="G55" s="16"/>
    </row>
    <row r="56" spans="1:9" x14ac:dyDescent="0.35">
      <c r="A56" s="16"/>
      <c r="B56" s="16" t="s">
        <v>31</v>
      </c>
      <c r="C56" s="16"/>
      <c r="D56" s="16"/>
      <c r="E56" s="16"/>
      <c r="F56" s="16"/>
      <c r="G56" s="16"/>
    </row>
    <row r="57" spans="1:9" x14ac:dyDescent="0.35">
      <c r="A57" s="16"/>
      <c r="C57" s="16"/>
      <c r="D57" s="16"/>
      <c r="E57" s="16"/>
      <c r="F57" s="16"/>
      <c r="G57" s="16"/>
    </row>
    <row r="58" spans="1:9" x14ac:dyDescent="0.35">
      <c r="A58" s="16"/>
      <c r="B58" s="112" t="s">
        <v>32</v>
      </c>
      <c r="C58" s="112"/>
      <c r="D58" s="39" t="s">
        <v>149</v>
      </c>
      <c r="E58" s="159" t="s">
        <v>114</v>
      </c>
      <c r="F58" s="16"/>
      <c r="G58" s="16"/>
    </row>
    <row r="59" spans="1:9" x14ac:dyDescent="0.35">
      <c r="A59" s="16"/>
      <c r="B59" s="113" t="s">
        <v>33</v>
      </c>
      <c r="C59" s="113"/>
      <c r="D59" s="27">
        <f>C54</f>
        <v>10575.47</v>
      </c>
      <c r="E59" s="27">
        <f>E54</f>
        <v>11060.079999999998</v>
      </c>
      <c r="F59" s="16"/>
      <c r="G59" s="16"/>
      <c r="I59" s="5"/>
    </row>
    <row r="60" spans="1:9" x14ac:dyDescent="0.35">
      <c r="A60" s="16"/>
      <c r="B60" s="113" t="s">
        <v>100</v>
      </c>
      <c r="C60" s="113"/>
      <c r="D60" s="27">
        <v>0</v>
      </c>
      <c r="E60" s="27"/>
      <c r="F60" s="16"/>
      <c r="G60" s="25"/>
    </row>
    <row r="61" spans="1:9" x14ac:dyDescent="0.35">
      <c r="A61" s="16"/>
      <c r="B61" s="113" t="s">
        <v>34</v>
      </c>
      <c r="C61" s="113"/>
      <c r="D61" s="194">
        <f>D59-D60</f>
        <v>10575.47</v>
      </c>
      <c r="E61" s="32">
        <f>E59-E60</f>
        <v>11060.079999999998</v>
      </c>
      <c r="F61" s="30"/>
      <c r="G61" s="30"/>
    </row>
    <row r="62" spans="1:9" x14ac:dyDescent="0.35">
      <c r="A62" s="16"/>
      <c r="B62" s="16"/>
      <c r="C62" s="16"/>
      <c r="D62" s="16"/>
      <c r="E62" s="16"/>
      <c r="F62" s="16"/>
      <c r="G62" s="30"/>
    </row>
    <row r="63" spans="1:9" x14ac:dyDescent="0.35">
      <c r="A63" s="16"/>
      <c r="B63" s="16" t="s">
        <v>35</v>
      </c>
      <c r="C63" s="16"/>
      <c r="D63" s="16"/>
      <c r="E63" s="16"/>
      <c r="F63" s="16"/>
      <c r="G63" s="16"/>
    </row>
    <row r="64" spans="1:9" x14ac:dyDescent="0.35">
      <c r="A64" s="16"/>
      <c r="B64" s="16"/>
      <c r="C64" s="16"/>
      <c r="D64" s="16"/>
      <c r="E64" s="16"/>
      <c r="F64" s="16"/>
      <c r="G64" s="16"/>
    </row>
    <row r="65" spans="1:7" x14ac:dyDescent="0.35">
      <c r="A65" s="16"/>
      <c r="C65" s="16"/>
      <c r="D65" s="16"/>
      <c r="E65" s="16"/>
      <c r="F65" s="16"/>
      <c r="G65" s="16"/>
    </row>
    <row r="66" spans="1:7" x14ac:dyDescent="0.35">
      <c r="A66" s="16"/>
      <c r="B66" s="16" t="s">
        <v>36</v>
      </c>
      <c r="C66" s="34"/>
      <c r="D66" s="34"/>
      <c r="E66" s="35" t="s">
        <v>37</v>
      </c>
      <c r="F66" s="36" t="s">
        <v>0</v>
      </c>
      <c r="G66" s="16"/>
    </row>
    <row r="67" spans="1:7" ht="26" x14ac:dyDescent="0.35">
      <c r="A67" s="16"/>
      <c r="B67" s="16" t="s">
        <v>36</v>
      </c>
      <c r="C67" s="34"/>
      <c r="D67" s="34"/>
      <c r="E67" s="37" t="s">
        <v>38</v>
      </c>
      <c r="F67" s="36" t="s">
        <v>0</v>
      </c>
      <c r="G67" s="16"/>
    </row>
    <row r="68" spans="1:7" x14ac:dyDescent="0.35">
      <c r="A68" s="16"/>
      <c r="B68" s="16"/>
      <c r="C68" s="16"/>
      <c r="D68" s="16"/>
      <c r="E68" s="16"/>
      <c r="F68" s="16"/>
      <c r="G68" s="16"/>
    </row>
    <row r="69" spans="1:7" x14ac:dyDescent="0.35">
      <c r="B69" s="38"/>
      <c r="C69" s="16"/>
      <c r="D69" s="16"/>
      <c r="E69" s="16"/>
      <c r="F69" s="16"/>
      <c r="G69" s="38"/>
    </row>
    <row r="70" spans="1:7" x14ac:dyDescent="0.35">
      <c r="C70" s="38"/>
      <c r="D70" s="38"/>
      <c r="E70" s="38"/>
      <c r="F70" s="38"/>
    </row>
  </sheetData>
  <pageMargins left="0.7" right="0.7" top="0.75" bottom="0.75" header="0.3" footer="0.3"/>
  <pageSetup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9AB73-3557-49DE-ADE1-CDD969CA741C}">
  <sheetPr>
    <pageSetUpPr fitToPage="1"/>
  </sheetPr>
  <dimension ref="A1:AO47"/>
  <sheetViews>
    <sheetView zoomScaleNormal="100" workbookViewId="0">
      <pane xSplit="1" ySplit="1" topLeftCell="Z2" activePane="bottomRight" state="frozen"/>
      <selection pane="topRight" activeCell="B1" sqref="B1"/>
      <selection pane="bottomLeft" activeCell="A2" sqref="A2"/>
      <selection pane="bottomRight" activeCell="AC17" sqref="AC17"/>
    </sheetView>
  </sheetViews>
  <sheetFormatPr defaultRowHeight="14.5" x14ac:dyDescent="0.35"/>
  <cols>
    <col min="1" max="1" width="17.7265625" style="131" bestFit="1" customWidth="1"/>
    <col min="2" max="2" width="7.7265625" customWidth="1"/>
    <col min="3" max="3" width="14.81640625" style="10" customWidth="1"/>
    <col min="4" max="4" width="17.7265625" customWidth="1"/>
    <col min="5" max="5" width="2.26953125" style="132" customWidth="1"/>
    <col min="6" max="6" width="7.26953125" customWidth="1"/>
    <col min="7" max="7" width="17.7265625" customWidth="1"/>
    <col min="8" max="8" width="18" style="131" customWidth="1"/>
    <col min="9" max="9" width="2.26953125" style="132" customWidth="1"/>
    <col min="10" max="10" width="14.54296875" style="130" customWidth="1"/>
    <col min="11" max="12" width="20.81640625" style="130" customWidth="1"/>
    <col min="13" max="13" width="13.453125" style="130" customWidth="1"/>
    <col min="14" max="14" width="18" style="130" customWidth="1"/>
    <col min="15" max="15" width="32.1796875" style="127" customWidth="1"/>
    <col min="16" max="16" width="2.26953125" style="132" customWidth="1"/>
    <col min="17" max="18" width="15.26953125" style="130" customWidth="1"/>
    <col min="19" max="19" width="2.26953125" style="132" customWidth="1"/>
    <col min="20" max="20" width="9.1796875" customWidth="1"/>
    <col min="21" max="21" width="14.81640625" customWidth="1"/>
    <col min="22" max="22" width="2.26953125" style="132" customWidth="1"/>
    <col min="23" max="23" width="9.1796875" customWidth="1"/>
    <col min="24" max="24" width="14.81640625" customWidth="1"/>
    <col min="25" max="26" width="2.26953125" style="132" customWidth="1"/>
    <col min="27" max="28" width="15.26953125" style="130" customWidth="1"/>
    <col min="29" max="29" width="15.7265625" style="130" customWidth="1"/>
    <col min="30" max="30" width="15.26953125" style="130" customWidth="1"/>
    <col min="31" max="31" width="54.81640625" customWidth="1"/>
    <col min="32" max="32" width="18" style="127" customWidth="1"/>
    <col min="33" max="33" width="8.7265625" customWidth="1"/>
    <col min="34" max="34" width="8.7265625" style="130"/>
    <col min="35" max="35" width="41.7265625" customWidth="1"/>
    <col min="39" max="42" width="0" hidden="1" customWidth="1"/>
  </cols>
  <sheetData>
    <row r="1" spans="1:36" x14ac:dyDescent="0.35">
      <c r="A1" s="107"/>
      <c r="B1" s="285" t="s">
        <v>66</v>
      </c>
      <c r="C1" s="286"/>
      <c r="D1" s="286"/>
      <c r="E1" s="126"/>
      <c r="F1" s="285" t="s">
        <v>69</v>
      </c>
      <c r="G1" s="286"/>
      <c r="H1" s="286"/>
      <c r="I1" s="126"/>
      <c r="J1" s="287" t="s">
        <v>70</v>
      </c>
      <c r="K1" s="288"/>
      <c r="L1" s="288"/>
      <c r="M1" s="288"/>
      <c r="N1" s="288"/>
      <c r="O1" s="289"/>
      <c r="P1" s="126"/>
      <c r="Q1" s="122"/>
      <c r="R1" s="179" t="s">
        <v>113</v>
      </c>
      <c r="S1" s="126"/>
      <c r="T1" s="177" t="s">
        <v>124</v>
      </c>
      <c r="U1" s="197"/>
      <c r="V1" s="126"/>
      <c r="W1" s="177" t="s">
        <v>186</v>
      </c>
      <c r="X1" s="197"/>
      <c r="Y1" s="126"/>
      <c r="Z1" s="126"/>
      <c r="AA1" s="177" t="s">
        <v>142</v>
      </c>
      <c r="AC1" s="122"/>
      <c r="AD1" s="122"/>
      <c r="AF1" s="123" t="s">
        <v>101</v>
      </c>
      <c r="AG1" s="236"/>
      <c r="AH1" s="260" t="s">
        <v>286</v>
      </c>
    </row>
    <row r="2" spans="1:36" s="97" customFormat="1" ht="43.5" x14ac:dyDescent="0.35">
      <c r="A2" s="108"/>
      <c r="B2" s="105" t="s">
        <v>67</v>
      </c>
      <c r="C2" s="98" t="s">
        <v>68</v>
      </c>
      <c r="D2" s="118" t="s">
        <v>60</v>
      </c>
      <c r="E2" s="125"/>
      <c r="F2" s="105" t="s">
        <v>67</v>
      </c>
      <c r="G2" s="98" t="s">
        <v>68</v>
      </c>
      <c r="H2" s="110" t="s">
        <v>60</v>
      </c>
      <c r="I2" s="125"/>
      <c r="J2" s="105" t="s">
        <v>67</v>
      </c>
      <c r="K2" s="98" t="s">
        <v>68</v>
      </c>
      <c r="L2" s="98" t="s">
        <v>71</v>
      </c>
      <c r="M2" s="117" t="s">
        <v>72</v>
      </c>
      <c r="N2" s="98" t="s">
        <v>60</v>
      </c>
      <c r="O2" s="123" t="s">
        <v>88</v>
      </c>
      <c r="P2" s="125"/>
      <c r="Q2" s="105" t="s">
        <v>67</v>
      </c>
      <c r="R2" s="98" t="s">
        <v>68</v>
      </c>
      <c r="S2" s="125"/>
      <c r="T2" s="105" t="s">
        <v>67</v>
      </c>
      <c r="U2" s="98" t="s">
        <v>68</v>
      </c>
      <c r="V2" s="125"/>
      <c r="W2" s="105" t="s">
        <v>67</v>
      </c>
      <c r="X2" s="98" t="s">
        <v>68</v>
      </c>
      <c r="Y2" s="125"/>
      <c r="Z2" s="125"/>
      <c r="AA2" s="98" t="s">
        <v>67</v>
      </c>
      <c r="AB2" s="98" t="s">
        <v>75</v>
      </c>
      <c r="AC2" s="117" t="s">
        <v>175</v>
      </c>
      <c r="AD2" s="117" t="s">
        <v>285</v>
      </c>
      <c r="AE2" s="97" t="s">
        <v>101</v>
      </c>
      <c r="AF2" s="259"/>
      <c r="AH2" s="98" t="s">
        <v>67</v>
      </c>
      <c r="AI2" s="97" t="s">
        <v>101</v>
      </c>
    </row>
    <row r="3" spans="1:36" x14ac:dyDescent="0.35">
      <c r="A3" s="109" t="s">
        <v>51</v>
      </c>
      <c r="B3" s="105" t="s">
        <v>24</v>
      </c>
      <c r="C3" s="98" t="s">
        <v>24</v>
      </c>
      <c r="D3" s="118" t="s">
        <v>24</v>
      </c>
      <c r="E3" s="125"/>
      <c r="F3" s="105" t="s">
        <v>24</v>
      </c>
      <c r="G3" s="98" t="s">
        <v>24</v>
      </c>
      <c r="H3" s="110" t="s">
        <v>24</v>
      </c>
      <c r="I3" s="125"/>
      <c r="J3" s="105" t="s">
        <v>24</v>
      </c>
      <c r="K3" s="98" t="s">
        <v>24</v>
      </c>
      <c r="L3" s="98"/>
      <c r="M3" s="98"/>
      <c r="N3" s="98" t="s">
        <v>24</v>
      </c>
      <c r="P3" s="125"/>
      <c r="Q3" s="98" t="s">
        <v>24</v>
      </c>
      <c r="R3" s="98"/>
      <c r="S3" s="125"/>
      <c r="T3" s="98" t="s">
        <v>24</v>
      </c>
      <c r="U3" s="98"/>
      <c r="V3" s="125"/>
      <c r="W3" s="98"/>
      <c r="X3" s="98"/>
      <c r="Y3" s="125"/>
      <c r="Z3" s="125"/>
      <c r="AA3" s="98"/>
      <c r="AB3" s="98"/>
      <c r="AC3" s="98"/>
      <c r="AD3" s="98"/>
      <c r="AH3" s="129"/>
    </row>
    <row r="4" spans="1:36" x14ac:dyDescent="0.35">
      <c r="A4" s="137" t="s">
        <v>4</v>
      </c>
      <c r="B4" s="138">
        <v>4914</v>
      </c>
      <c r="C4" s="139">
        <v>5110</v>
      </c>
      <c r="D4" s="217">
        <f t="shared" ref="D4:D9" si="0">C4-B4</f>
        <v>196</v>
      </c>
      <c r="E4" s="128"/>
      <c r="F4" s="140"/>
      <c r="G4" s="139">
        <v>5213</v>
      </c>
      <c r="H4" s="137"/>
      <c r="I4" s="128"/>
      <c r="J4" s="164">
        <v>5213</v>
      </c>
      <c r="K4" s="129">
        <v>5213</v>
      </c>
      <c r="L4" s="129">
        <v>0</v>
      </c>
      <c r="M4" s="129">
        <v>5213</v>
      </c>
      <c r="N4" s="129">
        <v>0</v>
      </c>
      <c r="P4" s="128"/>
      <c r="Q4" s="129">
        <v>5473.6500000000005</v>
      </c>
      <c r="R4" s="129">
        <v>5474</v>
      </c>
      <c r="S4" s="128"/>
      <c r="T4" s="129">
        <v>5802</v>
      </c>
      <c r="U4" s="129">
        <v>5802</v>
      </c>
      <c r="V4" s="128"/>
      <c r="W4" s="129">
        <v>6802</v>
      </c>
      <c r="X4" s="129">
        <v>6802</v>
      </c>
      <c r="Y4" s="128"/>
      <c r="Z4" s="128"/>
      <c r="AA4" s="220">
        <v>7822</v>
      </c>
      <c r="AB4" s="129">
        <f>'Income and Expenditure'!F14</f>
        <v>7822</v>
      </c>
      <c r="AC4" s="129">
        <v>0</v>
      </c>
      <c r="AD4" s="261">
        <f>AB4+AC4</f>
        <v>7822</v>
      </c>
      <c r="AE4" t="s">
        <v>117</v>
      </c>
      <c r="AH4" s="129">
        <f>AD4*1.07</f>
        <v>8369.5400000000009</v>
      </c>
      <c r="AI4" t="s">
        <v>313</v>
      </c>
    </row>
    <row r="5" spans="1:36" x14ac:dyDescent="0.35">
      <c r="A5" s="137" t="s">
        <v>5</v>
      </c>
      <c r="B5" s="138">
        <v>164</v>
      </c>
      <c r="C5" s="139">
        <v>164</v>
      </c>
      <c r="D5" s="217">
        <f t="shared" si="0"/>
        <v>0</v>
      </c>
      <c r="E5" s="128"/>
      <c r="F5" s="140"/>
      <c r="G5" s="139">
        <v>164</v>
      </c>
      <c r="H5" s="137"/>
      <c r="I5" s="128"/>
      <c r="J5" s="164">
        <v>164</v>
      </c>
      <c r="K5" s="129">
        <v>164</v>
      </c>
      <c r="L5" s="129">
        <v>0</v>
      </c>
      <c r="M5" s="129">
        <v>164</v>
      </c>
      <c r="N5" s="129">
        <v>0</v>
      </c>
      <c r="P5" s="128"/>
      <c r="Q5" s="129">
        <v>164</v>
      </c>
      <c r="R5" s="129">
        <v>164</v>
      </c>
      <c r="S5" s="128"/>
      <c r="T5" s="129">
        <v>164</v>
      </c>
      <c r="U5" s="129">
        <v>164</v>
      </c>
      <c r="V5" s="128"/>
      <c r="W5" s="129">
        <v>164</v>
      </c>
      <c r="X5" s="129">
        <v>164</v>
      </c>
      <c r="Y5" s="128"/>
      <c r="Z5" s="128"/>
      <c r="AA5" s="220">
        <v>164</v>
      </c>
      <c r="AB5" s="129">
        <f>'Income and Expenditure'!G14</f>
        <v>164</v>
      </c>
      <c r="AC5" s="129">
        <v>0</v>
      </c>
      <c r="AD5" s="261">
        <f t="shared" ref="AD5:AD11" si="1">AB5+AC5</f>
        <v>164</v>
      </c>
      <c r="AH5" s="129">
        <v>0</v>
      </c>
      <c r="AI5" t="s">
        <v>273</v>
      </c>
    </row>
    <row r="6" spans="1:36" x14ac:dyDescent="0.35">
      <c r="A6" s="137" t="s">
        <v>6</v>
      </c>
      <c r="B6" s="138">
        <v>352</v>
      </c>
      <c r="C6" s="139"/>
      <c r="D6" s="217">
        <f t="shared" si="0"/>
        <v>-352</v>
      </c>
      <c r="E6" s="128"/>
      <c r="F6" s="140"/>
      <c r="G6" s="139">
        <v>878.07</v>
      </c>
      <c r="H6" s="137"/>
      <c r="I6" s="128"/>
      <c r="J6" s="164">
        <v>80</v>
      </c>
      <c r="K6" s="129">
        <v>242.82</v>
      </c>
      <c r="L6" s="129">
        <v>0</v>
      </c>
      <c r="M6" s="129">
        <v>242.82</v>
      </c>
      <c r="N6" s="129">
        <v>162.82</v>
      </c>
      <c r="P6" s="128"/>
      <c r="Q6" s="129">
        <v>382</v>
      </c>
      <c r="R6" s="129">
        <v>492.15</v>
      </c>
      <c r="S6" s="128"/>
      <c r="T6" s="129">
        <v>515</v>
      </c>
      <c r="U6" s="129">
        <v>1040.5</v>
      </c>
      <c r="V6" s="128"/>
      <c r="W6" s="129">
        <v>550</v>
      </c>
      <c r="X6" s="129">
        <v>1603.73</v>
      </c>
      <c r="Y6" s="128"/>
      <c r="Z6" s="128"/>
      <c r="AA6" s="220">
        <v>500</v>
      </c>
      <c r="AB6" s="129">
        <f>'Income and Expenditure'!H14</f>
        <v>785.54</v>
      </c>
      <c r="AC6" s="129">
        <v>0</v>
      </c>
      <c r="AD6" s="261">
        <f t="shared" si="1"/>
        <v>785.54</v>
      </c>
      <c r="AE6" t="s">
        <v>324</v>
      </c>
      <c r="AH6" s="129">
        <v>500</v>
      </c>
    </row>
    <row r="7" spans="1:36" ht="58" x14ac:dyDescent="0.35">
      <c r="A7" s="141" t="s">
        <v>63</v>
      </c>
      <c r="B7" s="142">
        <v>0</v>
      </c>
      <c r="C7" s="143">
        <v>1624</v>
      </c>
      <c r="D7" s="217">
        <f t="shared" si="0"/>
        <v>1624</v>
      </c>
      <c r="E7" s="128"/>
      <c r="F7" s="144"/>
      <c r="G7" s="143">
        <v>350</v>
      </c>
      <c r="H7" s="141"/>
      <c r="I7" s="128"/>
      <c r="J7" s="164">
        <v>0</v>
      </c>
      <c r="K7" s="129">
        <v>4810</v>
      </c>
      <c r="L7" s="129">
        <v>0</v>
      </c>
      <c r="M7" s="129">
        <v>4810</v>
      </c>
      <c r="N7" s="129">
        <v>4810</v>
      </c>
      <c r="P7" s="128"/>
      <c r="Q7" s="129">
        <v>523.69000000000005</v>
      </c>
      <c r="R7" s="129">
        <v>971.05</v>
      </c>
      <c r="S7" s="128"/>
      <c r="T7" s="129">
        <v>750</v>
      </c>
      <c r="U7" s="129">
        <v>1394</v>
      </c>
      <c r="V7" s="128"/>
      <c r="W7" s="129">
        <v>1139</v>
      </c>
      <c r="X7" s="129">
        <v>4824</v>
      </c>
      <c r="Y7" s="128"/>
      <c r="Z7" s="128"/>
      <c r="AA7" s="220">
        <v>518</v>
      </c>
      <c r="AB7" s="129">
        <f>'Income and Expenditure'!I14</f>
        <v>518</v>
      </c>
      <c r="AC7" s="129">
        <v>0</v>
      </c>
      <c r="AD7" s="261">
        <f t="shared" si="1"/>
        <v>518</v>
      </c>
      <c r="AE7" s="193" t="s">
        <v>129</v>
      </c>
      <c r="AF7" s="127" t="s">
        <v>143</v>
      </c>
      <c r="AH7" s="129">
        <v>518</v>
      </c>
      <c r="AI7" t="s">
        <v>276</v>
      </c>
    </row>
    <row r="8" spans="1:36" ht="29" hidden="1" x14ac:dyDescent="0.35">
      <c r="A8" s="141" t="s">
        <v>116</v>
      </c>
      <c r="B8" s="142">
        <v>0</v>
      </c>
      <c r="C8" s="143"/>
      <c r="D8" s="217">
        <f t="shared" si="0"/>
        <v>0</v>
      </c>
      <c r="E8" s="128"/>
      <c r="F8" s="144"/>
      <c r="G8" s="143">
        <v>150</v>
      </c>
      <c r="H8" s="141"/>
      <c r="I8" s="128"/>
      <c r="J8" s="164">
        <v>0</v>
      </c>
      <c r="K8" s="129">
        <v>0</v>
      </c>
      <c r="L8" s="129">
        <v>0</v>
      </c>
      <c r="M8" s="129">
        <v>0</v>
      </c>
      <c r="N8" s="129">
        <v>0</v>
      </c>
      <c r="P8" s="128"/>
      <c r="Q8" s="129">
        <v>0</v>
      </c>
      <c r="R8" s="129">
        <v>0</v>
      </c>
      <c r="S8" s="128"/>
      <c r="T8" s="129">
        <v>0</v>
      </c>
      <c r="U8" s="129">
        <v>41.36</v>
      </c>
      <c r="V8" s="128"/>
      <c r="W8" s="129">
        <v>0</v>
      </c>
      <c r="X8" s="129">
        <v>0</v>
      </c>
      <c r="Y8" s="128"/>
      <c r="Z8" s="128"/>
      <c r="AA8" s="220">
        <v>0</v>
      </c>
      <c r="AB8" s="129">
        <f>'Income and Expenditure'!J14</f>
        <v>0</v>
      </c>
      <c r="AC8" s="129">
        <v>0</v>
      </c>
      <c r="AD8" s="129">
        <f t="shared" si="1"/>
        <v>0</v>
      </c>
      <c r="AH8" s="129">
        <v>0</v>
      </c>
    </row>
    <row r="9" spans="1:36" ht="29" x14ac:dyDescent="0.35">
      <c r="A9" s="137" t="s">
        <v>48</v>
      </c>
      <c r="B9" s="138">
        <v>1771</v>
      </c>
      <c r="C9" s="139">
        <v>0</v>
      </c>
      <c r="D9" s="217">
        <f t="shared" si="0"/>
        <v>-1771</v>
      </c>
      <c r="E9" s="128"/>
      <c r="F9" s="140"/>
      <c r="G9" s="139">
        <v>1842</v>
      </c>
      <c r="H9" s="137"/>
      <c r="I9" s="128"/>
      <c r="J9" s="164">
        <v>1842</v>
      </c>
      <c r="K9" s="129">
        <v>1842</v>
      </c>
      <c r="L9" s="129"/>
      <c r="M9" s="129">
        <v>1842</v>
      </c>
      <c r="N9" s="129">
        <v>0</v>
      </c>
      <c r="P9" s="128"/>
      <c r="Q9" s="129">
        <v>1842</v>
      </c>
      <c r="R9" s="129">
        <v>1842.15</v>
      </c>
      <c r="S9" s="128"/>
      <c r="T9" s="129">
        <v>1842.15</v>
      </c>
      <c r="U9" s="129">
        <v>1842.15</v>
      </c>
      <c r="V9" s="128"/>
      <c r="W9" s="129">
        <v>1842.15</v>
      </c>
      <c r="X9" s="129">
        <v>1842.15</v>
      </c>
      <c r="Y9" s="128"/>
      <c r="Z9" s="128"/>
      <c r="AA9" s="220">
        <v>1842.15</v>
      </c>
      <c r="AB9" s="129">
        <f>'Income and Expenditure'!L14</f>
        <v>1842.15</v>
      </c>
      <c r="AC9" s="129">
        <v>0</v>
      </c>
      <c r="AD9" s="261">
        <f t="shared" si="1"/>
        <v>1842.15</v>
      </c>
      <c r="AE9" t="s">
        <v>118</v>
      </c>
      <c r="AH9" s="129">
        <v>1842.15</v>
      </c>
      <c r="AI9" s="127" t="s">
        <v>137</v>
      </c>
    </row>
    <row r="10" spans="1:36" ht="60" customHeight="1" x14ac:dyDescent="0.35">
      <c r="A10" s="137" t="s">
        <v>77</v>
      </c>
      <c r="B10" s="139"/>
      <c r="C10" s="139"/>
      <c r="D10" s="217"/>
      <c r="E10" s="128"/>
      <c r="F10" s="140"/>
      <c r="G10" s="139"/>
      <c r="H10" s="139"/>
      <c r="I10" s="128"/>
      <c r="J10" s="129"/>
      <c r="K10" s="129">
        <v>100</v>
      </c>
      <c r="L10" s="129">
        <v>0</v>
      </c>
      <c r="M10" s="129">
        <v>100</v>
      </c>
      <c r="N10" s="129"/>
      <c r="P10" s="128"/>
      <c r="Q10" s="129">
        <v>100</v>
      </c>
      <c r="R10" s="129">
        <v>100</v>
      </c>
      <c r="S10" s="128"/>
      <c r="T10" s="129">
        <v>100</v>
      </c>
      <c r="U10" s="129">
        <v>100</v>
      </c>
      <c r="V10" s="128"/>
      <c r="W10" s="129">
        <v>100</v>
      </c>
      <c r="X10" s="129">
        <v>0</v>
      </c>
      <c r="Y10" s="128"/>
      <c r="Z10" s="128"/>
      <c r="AA10" s="220">
        <v>0</v>
      </c>
      <c r="AB10" s="129">
        <f>'Income and Expenditure'!K14</f>
        <v>100</v>
      </c>
      <c r="AC10" s="129">
        <v>0</v>
      </c>
      <c r="AD10" s="261">
        <f t="shared" si="1"/>
        <v>100</v>
      </c>
      <c r="AE10" t="s">
        <v>119</v>
      </c>
      <c r="AH10" s="129">
        <v>100</v>
      </c>
      <c r="AI10" t="s">
        <v>275</v>
      </c>
    </row>
    <row r="11" spans="1:36" ht="43.5" hidden="1" x14ac:dyDescent="0.35">
      <c r="A11" s="137" t="s">
        <v>65</v>
      </c>
      <c r="B11" s="138"/>
      <c r="C11" s="139"/>
      <c r="D11" s="217"/>
      <c r="E11" s="128"/>
      <c r="F11" s="140"/>
      <c r="G11" s="139">
        <v>3577</v>
      </c>
      <c r="H11" s="139"/>
      <c r="I11" s="128"/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P11" s="128"/>
      <c r="Q11" s="129">
        <v>0</v>
      </c>
      <c r="R11" s="129">
        <v>0</v>
      </c>
      <c r="S11" s="128"/>
      <c r="T11" s="129">
        <v>0</v>
      </c>
      <c r="U11" s="129"/>
      <c r="V11" s="128"/>
      <c r="W11" s="129">
        <v>0</v>
      </c>
      <c r="X11" s="129"/>
      <c r="Y11" s="128"/>
      <c r="Z11" s="128"/>
      <c r="AA11" s="220">
        <v>0</v>
      </c>
      <c r="AB11" s="129"/>
      <c r="AC11" s="129">
        <v>0</v>
      </c>
      <c r="AD11" s="129">
        <f t="shared" si="1"/>
        <v>0</v>
      </c>
      <c r="AH11" s="129">
        <v>0</v>
      </c>
    </row>
    <row r="12" spans="1:36" s="130" customFormat="1" x14ac:dyDescent="0.35">
      <c r="A12" s="110" t="s">
        <v>52</v>
      </c>
      <c r="B12" s="118">
        <f>SUM(B4:B11)</f>
        <v>7201</v>
      </c>
      <c r="C12" s="98">
        <f t="shared" ref="C12:H12" si="2">SUM(C4:C11)</f>
        <v>6898</v>
      </c>
      <c r="D12" s="118">
        <f t="shared" si="2"/>
        <v>-303</v>
      </c>
      <c r="E12" s="125"/>
      <c r="F12" s="118">
        <f t="shared" si="2"/>
        <v>0</v>
      </c>
      <c r="G12" s="119">
        <f t="shared" si="2"/>
        <v>12174.07</v>
      </c>
      <c r="H12" s="110">
        <f t="shared" si="2"/>
        <v>0</v>
      </c>
      <c r="I12" s="125"/>
      <c r="J12" s="119">
        <v>7299</v>
      </c>
      <c r="K12" s="119">
        <v>12371.82</v>
      </c>
      <c r="L12" s="119">
        <v>0</v>
      </c>
      <c r="M12" s="98">
        <v>12371.82</v>
      </c>
      <c r="N12" s="129">
        <v>5072.82</v>
      </c>
      <c r="O12" s="165"/>
      <c r="P12" s="125"/>
      <c r="Q12" s="98">
        <f>SUM(Q4:Q11)</f>
        <v>8485.34</v>
      </c>
      <c r="R12" s="98">
        <f>SUM(R4:R11)</f>
        <v>9043.35</v>
      </c>
      <c r="S12" s="125"/>
      <c r="T12" s="98">
        <f>SUM(T4:T11)</f>
        <v>9173.15</v>
      </c>
      <c r="U12" s="98">
        <f>SUM(U4:U11)</f>
        <v>10384.01</v>
      </c>
      <c r="V12" s="125"/>
      <c r="W12" s="98">
        <f>SUM(W4:W11)</f>
        <v>10597.15</v>
      </c>
      <c r="X12" s="98">
        <f>SUM(X4:X11)</f>
        <v>15235.88</v>
      </c>
      <c r="Y12" s="125"/>
      <c r="Z12" s="125"/>
      <c r="AA12" s="98">
        <f>AA4+AA5+AA6+AA7+AA8+AA9+AA10+AA11</f>
        <v>10846.15</v>
      </c>
      <c r="AB12" s="98">
        <f>SUM(AB4:AB11)</f>
        <v>11231.69</v>
      </c>
      <c r="AC12" s="98">
        <f>SUM(AC4:AC11)</f>
        <v>0</v>
      </c>
      <c r="AD12" s="262">
        <f>SUM(AD4:AD11)</f>
        <v>11231.69</v>
      </c>
      <c r="AF12" s="165"/>
      <c r="AH12" s="98">
        <f>SUM(AH4:AH11)</f>
        <v>11329.69</v>
      </c>
    </row>
    <row r="14" spans="1:36" x14ac:dyDescent="0.35">
      <c r="O14" s="123" t="s">
        <v>88</v>
      </c>
      <c r="Q14" s="127"/>
      <c r="R14" s="127"/>
      <c r="AA14" s="127"/>
      <c r="AB14" s="127"/>
      <c r="AC14" s="127"/>
      <c r="AD14" s="127"/>
    </row>
    <row r="15" spans="1:36" s="127" customFormat="1" ht="43.5" x14ac:dyDescent="0.35">
      <c r="A15" s="149" t="s">
        <v>8</v>
      </c>
      <c r="B15" s="150" t="s">
        <v>73</v>
      </c>
      <c r="C15" s="117" t="s">
        <v>68</v>
      </c>
      <c r="D15" s="218" t="s">
        <v>60</v>
      </c>
      <c r="E15" s="151"/>
      <c r="F15" s="150" t="s">
        <v>67</v>
      </c>
      <c r="G15" s="117" t="s">
        <v>68</v>
      </c>
      <c r="H15" s="152" t="s">
        <v>60</v>
      </c>
      <c r="I15" s="151"/>
      <c r="J15" s="150" t="s">
        <v>67</v>
      </c>
      <c r="K15" s="117" t="s">
        <v>68</v>
      </c>
      <c r="L15" s="117" t="s">
        <v>71</v>
      </c>
      <c r="M15" s="117" t="s">
        <v>72</v>
      </c>
      <c r="N15" s="117" t="s">
        <v>60</v>
      </c>
      <c r="P15" s="151"/>
      <c r="Q15" s="150" t="s">
        <v>67</v>
      </c>
      <c r="R15" s="150" t="s">
        <v>68</v>
      </c>
      <c r="S15" s="151"/>
      <c r="T15" s="150" t="s">
        <v>67</v>
      </c>
      <c r="U15" s="150" t="s">
        <v>68</v>
      </c>
      <c r="V15" s="151"/>
      <c r="W15" s="150" t="s">
        <v>67</v>
      </c>
      <c r="X15" s="150" t="s">
        <v>68</v>
      </c>
      <c r="Y15" s="151"/>
      <c r="Z15" s="151"/>
      <c r="AA15" s="150" t="s">
        <v>67</v>
      </c>
      <c r="AB15" s="98" t="s">
        <v>102</v>
      </c>
      <c r="AC15" s="117" t="s">
        <v>176</v>
      </c>
      <c r="AD15" s="117" t="s">
        <v>285</v>
      </c>
      <c r="AE15" s="127" t="s">
        <v>121</v>
      </c>
      <c r="AG15" s="219">
        <v>1.05</v>
      </c>
      <c r="AH15" s="117" t="s">
        <v>67</v>
      </c>
      <c r="AI15" s="127" t="s">
        <v>138</v>
      </c>
      <c r="AJ15" s="219">
        <f>1.05</f>
        <v>1.05</v>
      </c>
    </row>
    <row r="16" spans="1:36" x14ac:dyDescent="0.35">
      <c r="A16" s="137" t="s">
        <v>53</v>
      </c>
      <c r="B16" s="140"/>
      <c r="C16" s="139">
        <v>478.26</v>
      </c>
      <c r="D16" s="217">
        <f t="shared" ref="D16:D35" si="3">C16-B16</f>
        <v>478.26</v>
      </c>
      <c r="E16" s="128"/>
      <c r="F16" s="140"/>
      <c r="G16" s="139">
        <v>98.33</v>
      </c>
      <c r="H16" s="137"/>
      <c r="I16" s="128"/>
      <c r="J16" s="164">
        <v>90</v>
      </c>
      <c r="K16" s="129">
        <v>245.22000000000003</v>
      </c>
      <c r="L16" s="129">
        <v>0</v>
      </c>
      <c r="M16" s="129">
        <v>245.22000000000003</v>
      </c>
      <c r="N16" s="129">
        <v>155.22000000000003</v>
      </c>
      <c r="P16" s="128"/>
      <c r="Q16" s="129">
        <v>382</v>
      </c>
      <c r="R16" s="129">
        <v>589.41999999999996</v>
      </c>
      <c r="S16" s="128"/>
      <c r="T16" s="129">
        <v>515</v>
      </c>
      <c r="U16" s="129">
        <v>943.23000000000013</v>
      </c>
      <c r="V16" s="128"/>
      <c r="W16" s="237">
        <v>550</v>
      </c>
      <c r="X16" s="129">
        <v>1671.0600000000004</v>
      </c>
      <c r="Y16" s="128"/>
      <c r="Z16" s="128"/>
      <c r="AA16" s="220">
        <v>500</v>
      </c>
      <c r="AB16" s="129">
        <f>'Income and Expenditure'!F81</f>
        <v>818.3299999999997</v>
      </c>
      <c r="AC16" s="129">
        <v>0</v>
      </c>
      <c r="AD16" s="129">
        <f t="shared" ref="AD16:AD34" si="4">AB16+AC16</f>
        <v>818.3299999999997</v>
      </c>
      <c r="AH16" s="129">
        <v>500</v>
      </c>
    </row>
    <row r="17" spans="1:41" ht="29" x14ac:dyDescent="0.35">
      <c r="A17" s="137" t="s">
        <v>127</v>
      </c>
      <c r="B17" s="140">
        <f>2112+310</f>
        <v>2422</v>
      </c>
      <c r="C17" s="139">
        <v>3711.11</v>
      </c>
      <c r="D17" s="217">
        <f t="shared" si="3"/>
        <v>1289.1100000000001</v>
      </c>
      <c r="E17" s="128"/>
      <c r="F17" s="140"/>
      <c r="G17" s="139">
        <v>300</v>
      </c>
      <c r="H17" s="137"/>
      <c r="I17" s="128"/>
      <c r="J17" s="164">
        <v>3785.3322000000003</v>
      </c>
      <c r="K17" s="129">
        <v>1080</v>
      </c>
      <c r="L17" s="129">
        <v>0</v>
      </c>
      <c r="M17" s="129">
        <v>1080</v>
      </c>
      <c r="N17" s="129">
        <v>-2705.3322000000003</v>
      </c>
      <c r="O17" s="127" t="s">
        <v>90</v>
      </c>
      <c r="P17" s="128"/>
      <c r="Q17" s="129">
        <v>1820</v>
      </c>
      <c r="R17" s="129">
        <v>1440</v>
      </c>
      <c r="S17" s="128"/>
      <c r="T17" s="129">
        <v>1778.8</v>
      </c>
      <c r="U17" s="129">
        <v>4820</v>
      </c>
      <c r="V17" s="128"/>
      <c r="W17" s="237">
        <f>3520+310</f>
        <v>3830</v>
      </c>
      <c r="X17" s="129">
        <v>3217.16</v>
      </c>
      <c r="Y17" s="128"/>
      <c r="Z17" s="128"/>
      <c r="AA17" s="220">
        <v>2731.44</v>
      </c>
      <c r="AB17" s="129">
        <f>'Income and Expenditure'!G81</f>
        <v>2731.41</v>
      </c>
      <c r="AC17" s="129">
        <v>0</v>
      </c>
      <c r="AD17" s="261">
        <f t="shared" si="4"/>
        <v>2731.41</v>
      </c>
      <c r="AE17" t="s">
        <v>120</v>
      </c>
      <c r="AH17" s="129">
        <v>3335.64</v>
      </c>
      <c r="AI17" t="s">
        <v>287</v>
      </c>
    </row>
    <row r="18" spans="1:41" ht="43.5" x14ac:dyDescent="0.35">
      <c r="A18" s="137" t="s">
        <v>46</v>
      </c>
      <c r="B18" s="140">
        <v>220</v>
      </c>
      <c r="C18" s="139">
        <v>291.36</v>
      </c>
      <c r="D18" s="217">
        <f t="shared" si="3"/>
        <v>71.360000000000014</v>
      </c>
      <c r="E18" s="128"/>
      <c r="F18" s="140"/>
      <c r="G18" s="139">
        <v>456.31</v>
      </c>
      <c r="H18" s="137"/>
      <c r="I18" s="128"/>
      <c r="J18" s="164">
        <v>374.55</v>
      </c>
      <c r="K18" s="129">
        <v>37.5</v>
      </c>
      <c r="L18" s="129">
        <v>0</v>
      </c>
      <c r="M18" s="129">
        <v>37.5</v>
      </c>
      <c r="N18" s="129">
        <v>-337.05</v>
      </c>
      <c r="O18" s="127" t="s">
        <v>83</v>
      </c>
      <c r="P18" s="128"/>
      <c r="Q18" s="129">
        <v>389.68182000000002</v>
      </c>
      <c r="R18" s="129">
        <v>60.8</v>
      </c>
      <c r="S18" s="128"/>
      <c r="T18" s="129">
        <v>62.015999999999998</v>
      </c>
      <c r="U18" s="129">
        <v>78.539999999999992</v>
      </c>
      <c r="V18" s="128"/>
      <c r="W18" s="237">
        <v>82.47</v>
      </c>
      <c r="X18" s="129">
        <v>91.65</v>
      </c>
      <c r="Y18" s="128"/>
      <c r="Z18" s="128"/>
      <c r="AA18" s="220">
        <v>96.23</v>
      </c>
      <c r="AB18" s="129">
        <f>'Income and Expenditure'!H81</f>
        <v>92.78</v>
      </c>
      <c r="AC18" s="129">
        <v>0</v>
      </c>
      <c r="AD18" s="261">
        <f t="shared" si="4"/>
        <v>92.78</v>
      </c>
      <c r="AH18" s="129">
        <f>92.78*AJ15</f>
        <v>97.419000000000011</v>
      </c>
    </row>
    <row r="19" spans="1:41" x14ac:dyDescent="0.35">
      <c r="A19" s="137" t="s">
        <v>28</v>
      </c>
      <c r="B19" s="140">
        <f>280+220</f>
        <v>500</v>
      </c>
      <c r="C19" s="139">
        <v>182.79</v>
      </c>
      <c r="D19" s="217">
        <f t="shared" si="3"/>
        <v>-317.21000000000004</v>
      </c>
      <c r="E19" s="128"/>
      <c r="F19" s="140"/>
      <c r="G19" s="139">
        <v>354.38</v>
      </c>
      <c r="H19" s="137"/>
      <c r="I19" s="128"/>
      <c r="J19" s="164">
        <v>361.47</v>
      </c>
      <c r="K19" s="129">
        <v>310.45999999999998</v>
      </c>
      <c r="L19" s="129">
        <v>0</v>
      </c>
      <c r="M19" s="129">
        <v>310.45999999999998</v>
      </c>
      <c r="N19" s="129">
        <v>-51.010000000000048</v>
      </c>
      <c r="O19" s="127" t="s">
        <v>89</v>
      </c>
      <c r="P19" s="128"/>
      <c r="Q19" s="129">
        <v>168.2</v>
      </c>
      <c r="R19" s="129">
        <v>118.2</v>
      </c>
      <c r="S19" s="128"/>
      <c r="T19" s="129">
        <v>50</v>
      </c>
      <c r="U19" s="129">
        <v>0</v>
      </c>
      <c r="V19" s="128"/>
      <c r="W19" s="237">
        <v>0</v>
      </c>
      <c r="X19" s="129">
        <v>0</v>
      </c>
      <c r="Y19" s="128"/>
      <c r="Z19" s="128"/>
      <c r="AA19" s="220">
        <v>0</v>
      </c>
      <c r="AB19" s="129">
        <f>'Income and Expenditure'!I81</f>
        <v>197</v>
      </c>
      <c r="AC19" s="129">
        <v>0</v>
      </c>
      <c r="AD19" s="263">
        <f t="shared" si="4"/>
        <v>197</v>
      </c>
      <c r="AH19" s="129">
        <v>0</v>
      </c>
      <c r="AI19" t="s">
        <v>282</v>
      </c>
    </row>
    <row r="20" spans="1:41" ht="43.5" x14ac:dyDescent="0.35">
      <c r="A20" s="137" t="s">
        <v>82</v>
      </c>
      <c r="B20" s="140">
        <v>1989.36</v>
      </c>
      <c r="C20" s="139">
        <v>2097.36</v>
      </c>
      <c r="D20" s="217">
        <f t="shared" si="3"/>
        <v>108.00000000000023</v>
      </c>
      <c r="E20" s="128"/>
      <c r="F20" s="140"/>
      <c r="G20" s="139">
        <f>2157.71+312.4</f>
        <v>2470.11</v>
      </c>
      <c r="H20" s="137"/>
      <c r="I20" s="128"/>
      <c r="J20" s="164">
        <v>2461.4639999999999</v>
      </c>
      <c r="K20" s="129">
        <v>3083.0522522522519</v>
      </c>
      <c r="L20" s="129">
        <v>0</v>
      </c>
      <c r="M20" s="129">
        <v>3083.0522522522519</v>
      </c>
      <c r="N20" s="129">
        <v>621.588252252252</v>
      </c>
      <c r="O20" s="127" t="s">
        <v>84</v>
      </c>
      <c r="P20" s="128"/>
      <c r="Q20" s="129">
        <v>3144.7132972972972</v>
      </c>
      <c r="R20" s="129">
        <v>3095.06</v>
      </c>
      <c r="S20" s="128"/>
      <c r="T20" s="129">
        <v>3357.2541000000001</v>
      </c>
      <c r="U20" s="129">
        <v>3580.1399999999994</v>
      </c>
      <c r="V20" s="128"/>
      <c r="W20" s="237">
        <v>3837.06</v>
      </c>
      <c r="X20" s="129">
        <v>3992.48</v>
      </c>
      <c r="Y20" s="128"/>
      <c r="Z20" s="128"/>
      <c r="AA20" s="220">
        <v>4361.57</v>
      </c>
      <c r="AB20" s="129">
        <f>'Income and Expenditure'!J81</f>
        <v>3954.2699999999995</v>
      </c>
      <c r="AC20" s="129">
        <v>0</v>
      </c>
      <c r="AD20" s="261">
        <f t="shared" si="4"/>
        <v>3954.2699999999995</v>
      </c>
      <c r="AH20" s="129">
        <f>AD20*AJ15</f>
        <v>4151.9834999999994</v>
      </c>
    </row>
    <row r="21" spans="1:41" x14ac:dyDescent="0.35">
      <c r="A21" s="137" t="s">
        <v>11</v>
      </c>
      <c r="B21" s="140">
        <v>300</v>
      </c>
      <c r="C21" s="139">
        <v>300</v>
      </c>
      <c r="D21" s="217">
        <f t="shared" si="3"/>
        <v>0</v>
      </c>
      <c r="E21" s="128"/>
      <c r="F21" s="140"/>
      <c r="G21" s="139">
        <v>300</v>
      </c>
      <c r="H21" s="137"/>
      <c r="I21" s="128"/>
      <c r="J21" s="164">
        <v>306</v>
      </c>
      <c r="K21" s="129">
        <v>300</v>
      </c>
      <c r="L21" s="129">
        <v>0</v>
      </c>
      <c r="M21" s="129">
        <v>300</v>
      </c>
      <c r="N21" s="129">
        <v>-6</v>
      </c>
      <c r="P21" s="128"/>
      <c r="Q21" s="129">
        <v>360</v>
      </c>
      <c r="R21" s="129">
        <v>360</v>
      </c>
      <c r="S21" s="128"/>
      <c r="T21" s="129">
        <v>360</v>
      </c>
      <c r="U21" s="129">
        <v>360</v>
      </c>
      <c r="V21" s="128"/>
      <c r="W21" s="237">
        <v>360</v>
      </c>
      <c r="X21" s="129">
        <v>362.49</v>
      </c>
      <c r="Y21" s="128"/>
      <c r="Z21" s="128"/>
      <c r="AA21" s="220">
        <v>360</v>
      </c>
      <c r="AB21" s="129">
        <f>'Income and Expenditure'!K81</f>
        <v>360</v>
      </c>
      <c r="AC21" s="129">
        <v>0</v>
      </c>
      <c r="AD21" s="261">
        <f t="shared" si="4"/>
        <v>360</v>
      </c>
      <c r="AE21" t="s">
        <v>122</v>
      </c>
      <c r="AH21" s="129">
        <f>66.67*6</f>
        <v>400.02</v>
      </c>
      <c r="AI21" t="s">
        <v>314</v>
      </c>
    </row>
    <row r="22" spans="1:41" ht="58" x14ac:dyDescent="0.35">
      <c r="A22" s="137" t="s">
        <v>131</v>
      </c>
      <c r="B22" s="140">
        <v>240</v>
      </c>
      <c r="C22" s="139">
        <v>240</v>
      </c>
      <c r="D22" s="217">
        <f t="shared" si="3"/>
        <v>0</v>
      </c>
      <c r="E22" s="128"/>
      <c r="F22" s="140"/>
      <c r="G22" s="139">
        <v>240</v>
      </c>
      <c r="H22" s="137"/>
      <c r="I22" s="128"/>
      <c r="J22" s="164">
        <v>244.8</v>
      </c>
      <c r="K22" s="129">
        <v>240</v>
      </c>
      <c r="L22" s="129">
        <v>0</v>
      </c>
      <c r="M22" s="129">
        <v>240</v>
      </c>
      <c r="N22" s="129">
        <v>-4.8000000000000114</v>
      </c>
      <c r="P22" s="128"/>
      <c r="Q22" s="129">
        <v>244.8</v>
      </c>
      <c r="R22" s="129">
        <v>120</v>
      </c>
      <c r="S22" s="128"/>
      <c r="T22" s="129">
        <v>0</v>
      </c>
      <c r="U22" s="129">
        <v>0</v>
      </c>
      <c r="V22" s="128"/>
      <c r="W22" s="237">
        <f>(37.65*12)+75</f>
        <v>526.79999999999995</v>
      </c>
      <c r="X22" s="129">
        <v>1119.8499999999999</v>
      </c>
      <c r="Y22" s="128"/>
      <c r="Z22" s="128"/>
      <c r="AA22" s="220">
        <v>730.8</v>
      </c>
      <c r="AB22" s="129">
        <f>'Income and Expenditure'!L81</f>
        <v>730.79999999999984</v>
      </c>
      <c r="AC22" s="129">
        <v>0</v>
      </c>
      <c r="AD22" s="261">
        <f t="shared" si="4"/>
        <v>730.79999999999984</v>
      </c>
      <c r="AE22" s="127" t="s">
        <v>123</v>
      </c>
      <c r="AH22" s="129">
        <f>AD22*AJ15</f>
        <v>767.33999999999992</v>
      </c>
      <c r="AI22" t="s">
        <v>288</v>
      </c>
    </row>
    <row r="23" spans="1:41" x14ac:dyDescent="0.35">
      <c r="A23" s="137" t="s">
        <v>12</v>
      </c>
      <c r="B23" s="140">
        <v>465</v>
      </c>
      <c r="C23" s="139">
        <v>409.89</v>
      </c>
      <c r="D23" s="217">
        <f t="shared" si="3"/>
        <v>-55.110000000000014</v>
      </c>
      <c r="E23" s="128"/>
      <c r="F23" s="140"/>
      <c r="G23" s="139">
        <v>402.3</v>
      </c>
      <c r="H23" s="137"/>
      <c r="I23" s="128"/>
      <c r="J23" s="164">
        <v>410.35</v>
      </c>
      <c r="K23" s="129">
        <v>406.42</v>
      </c>
      <c r="L23" s="129">
        <v>0</v>
      </c>
      <c r="M23" s="129">
        <v>406.42</v>
      </c>
      <c r="N23" s="129">
        <v>-3.9300000000000068</v>
      </c>
      <c r="P23" s="128"/>
      <c r="Q23" s="129">
        <v>414.54840000000002</v>
      </c>
      <c r="R23" s="129">
        <v>410.77</v>
      </c>
      <c r="S23" s="128"/>
      <c r="T23" s="129">
        <v>423.09</v>
      </c>
      <c r="U23" s="129">
        <v>453.74</v>
      </c>
      <c r="V23" s="128"/>
      <c r="W23" s="237">
        <v>476.42</v>
      </c>
      <c r="X23" s="129">
        <v>432.58</v>
      </c>
      <c r="Y23" s="128"/>
      <c r="Z23" s="128"/>
      <c r="AA23" s="220">
        <v>454.21</v>
      </c>
      <c r="AB23" s="129">
        <f>'Income and Expenditure'!M81</f>
        <v>469.22</v>
      </c>
      <c r="AC23" s="129">
        <v>0</v>
      </c>
      <c r="AD23" s="263">
        <f t="shared" si="4"/>
        <v>469.22</v>
      </c>
      <c r="AG23" s="130"/>
      <c r="AH23" s="129">
        <f>AD23*AJ15</f>
        <v>492.68100000000004</v>
      </c>
    </row>
    <row r="24" spans="1:41" ht="43.5" x14ac:dyDescent="0.35">
      <c r="A24" s="137" t="s">
        <v>62</v>
      </c>
      <c r="B24" s="140">
        <v>25</v>
      </c>
      <c r="C24" s="139">
        <v>261.89999999999998</v>
      </c>
      <c r="D24" s="217">
        <f t="shared" si="3"/>
        <v>236.89999999999998</v>
      </c>
      <c r="E24" s="128"/>
      <c r="F24" s="140"/>
      <c r="G24" s="139">
        <v>37</v>
      </c>
      <c r="H24" s="137"/>
      <c r="I24" s="128"/>
      <c r="J24" s="164">
        <v>37.74</v>
      </c>
      <c r="K24" s="129">
        <v>0</v>
      </c>
      <c r="L24" s="129">
        <v>0</v>
      </c>
      <c r="M24" s="129">
        <v>0</v>
      </c>
      <c r="N24" s="129">
        <v>-37.74</v>
      </c>
      <c r="O24" s="127" t="s">
        <v>85</v>
      </c>
      <c r="P24" s="128"/>
      <c r="Q24" s="129">
        <v>38.494800000000005</v>
      </c>
      <c r="R24" s="129">
        <v>17</v>
      </c>
      <c r="S24" s="128"/>
      <c r="T24" s="129">
        <v>17.510000000000002</v>
      </c>
      <c r="U24" s="129">
        <v>13.6</v>
      </c>
      <c r="V24" s="128"/>
      <c r="W24" s="237">
        <v>22</v>
      </c>
      <c r="X24" s="129">
        <v>18.32</v>
      </c>
      <c r="Y24" s="128"/>
      <c r="Z24" s="128"/>
      <c r="AA24" s="220">
        <v>50</v>
      </c>
      <c r="AB24" s="129">
        <f>'Income and Expenditure'!N81</f>
        <v>50</v>
      </c>
      <c r="AC24" s="129">
        <v>0</v>
      </c>
      <c r="AD24" s="261">
        <f t="shared" si="4"/>
        <v>50</v>
      </c>
      <c r="AH24" s="129">
        <v>50</v>
      </c>
    </row>
    <row r="25" spans="1:41" ht="87" x14ac:dyDescent="0.35">
      <c r="A25" s="137" t="s">
        <v>92</v>
      </c>
      <c r="B25" s="140"/>
      <c r="C25" s="139"/>
      <c r="D25" s="217">
        <f t="shared" si="3"/>
        <v>0</v>
      </c>
      <c r="E25" s="128"/>
      <c r="F25" s="140"/>
      <c r="G25" s="139">
        <v>200</v>
      </c>
      <c r="H25" s="137"/>
      <c r="I25" s="128"/>
      <c r="J25" s="164">
        <v>515.1</v>
      </c>
      <c r="K25" s="129">
        <v>122.98</v>
      </c>
      <c r="L25" s="129">
        <v>0</v>
      </c>
      <c r="M25" s="129">
        <v>122.98</v>
      </c>
      <c r="N25" s="129">
        <v>-392.12</v>
      </c>
      <c r="P25" s="128"/>
      <c r="Q25" s="129">
        <v>125.43960000000001</v>
      </c>
      <c r="R25" s="129">
        <v>162.4</v>
      </c>
      <c r="S25" s="128"/>
      <c r="T25" s="129">
        <v>179.44</v>
      </c>
      <c r="U25" s="129">
        <v>191.14999999999998</v>
      </c>
      <c r="V25" s="128"/>
      <c r="W25" s="237">
        <v>111.36</v>
      </c>
      <c r="X25" s="129">
        <v>220.53</v>
      </c>
      <c r="Y25" s="128"/>
      <c r="Z25" s="128"/>
      <c r="AA25" s="220">
        <f>221.06+500</f>
        <v>721.06</v>
      </c>
      <c r="AB25" s="129">
        <f>'Income and Expenditure'!O81</f>
        <v>738.09</v>
      </c>
      <c r="AC25" s="129">
        <v>0</v>
      </c>
      <c r="AD25" s="263">
        <f t="shared" si="4"/>
        <v>738.09</v>
      </c>
      <c r="AE25" t="s">
        <v>134</v>
      </c>
      <c r="AF25" s="127" t="s">
        <v>291</v>
      </c>
      <c r="AH25" s="129">
        <f>(AD25-423.2)*AJ15</f>
        <v>330.63450000000006</v>
      </c>
      <c r="AM25" t="s">
        <v>241</v>
      </c>
      <c r="AN25" t="s">
        <v>242</v>
      </c>
      <c r="AO25">
        <v>18</v>
      </c>
    </row>
    <row r="26" spans="1:41" ht="29" x14ac:dyDescent="0.35">
      <c r="A26" s="137" t="s">
        <v>49</v>
      </c>
      <c r="B26" s="140">
        <v>98</v>
      </c>
      <c r="C26" s="139"/>
      <c r="D26" s="217">
        <f t="shared" si="3"/>
        <v>-98</v>
      </c>
      <c r="E26" s="128"/>
      <c r="F26" s="140"/>
      <c r="G26" s="139">
        <v>100</v>
      </c>
      <c r="H26" s="137"/>
      <c r="I26" s="128"/>
      <c r="J26" s="164">
        <v>214.2</v>
      </c>
      <c r="K26" s="129">
        <v>179.4</v>
      </c>
      <c r="L26" s="129">
        <v>0</v>
      </c>
      <c r="M26" s="129">
        <v>179.4</v>
      </c>
      <c r="N26" s="129">
        <v>-34.799999999999983</v>
      </c>
      <c r="P26" s="128"/>
      <c r="Q26" s="129">
        <v>218.48399999999998</v>
      </c>
      <c r="R26" s="129">
        <v>207.53</v>
      </c>
      <c r="S26" s="128"/>
      <c r="T26" s="129">
        <v>213.76</v>
      </c>
      <c r="U26" s="129">
        <v>108.61</v>
      </c>
      <c r="V26" s="128"/>
      <c r="W26" s="237">
        <v>114.04</v>
      </c>
      <c r="X26" s="129">
        <v>186.81</v>
      </c>
      <c r="Y26" s="128"/>
      <c r="Z26" s="128"/>
      <c r="AA26" s="220">
        <v>248.65</v>
      </c>
      <c r="AB26" s="129">
        <f>'Income and Expenditure'!X81</f>
        <v>198.23</v>
      </c>
      <c r="AC26" s="129">
        <v>0</v>
      </c>
      <c r="AD26" s="263">
        <f t="shared" si="4"/>
        <v>198.23</v>
      </c>
      <c r="AE26" t="s">
        <v>135</v>
      </c>
      <c r="AH26" s="129">
        <f>AD26*AJ15</f>
        <v>208.14150000000001</v>
      </c>
      <c r="AM26" t="s">
        <v>243</v>
      </c>
    </row>
    <row r="27" spans="1:41" ht="29" hidden="1" x14ac:dyDescent="0.35">
      <c r="A27" s="137" t="s">
        <v>93</v>
      </c>
      <c r="B27" s="140">
        <v>90</v>
      </c>
      <c r="C27" s="139"/>
      <c r="D27" s="217">
        <f t="shared" si="3"/>
        <v>-90</v>
      </c>
      <c r="E27" s="128"/>
      <c r="F27" s="140"/>
      <c r="G27" s="139"/>
      <c r="H27" s="137"/>
      <c r="I27" s="128"/>
      <c r="J27" s="166"/>
      <c r="K27" s="129">
        <v>71.94</v>
      </c>
      <c r="L27" s="129">
        <v>0</v>
      </c>
      <c r="M27" s="129">
        <v>71.94</v>
      </c>
      <c r="N27" s="129">
        <v>71.94</v>
      </c>
      <c r="P27" s="128"/>
      <c r="Q27" s="129">
        <v>100</v>
      </c>
      <c r="R27" s="129">
        <v>11.99</v>
      </c>
      <c r="S27" s="128"/>
      <c r="T27" s="129">
        <v>115.35</v>
      </c>
      <c r="U27" s="129">
        <v>90</v>
      </c>
      <c r="V27" s="128"/>
      <c r="W27" s="237">
        <v>173.25</v>
      </c>
      <c r="X27" s="129">
        <v>90</v>
      </c>
      <c r="Y27" s="128"/>
      <c r="Z27" s="128"/>
      <c r="AA27" s="220">
        <v>0</v>
      </c>
      <c r="AB27" s="129">
        <f>'Income and Expenditure'!R81</f>
        <v>0</v>
      </c>
      <c r="AC27" s="129">
        <v>0</v>
      </c>
      <c r="AD27" s="129">
        <f t="shared" si="4"/>
        <v>0</v>
      </c>
      <c r="AH27" s="129">
        <v>0</v>
      </c>
      <c r="AM27">
        <f>18*7*0.45</f>
        <v>56.7</v>
      </c>
      <c r="AN27" t="s">
        <v>244</v>
      </c>
    </row>
    <row r="28" spans="1:41" x14ac:dyDescent="0.35">
      <c r="A28" s="137" t="s">
        <v>64</v>
      </c>
      <c r="B28" s="140"/>
      <c r="C28" s="139">
        <v>113</v>
      </c>
      <c r="D28" s="217">
        <f t="shared" si="3"/>
        <v>113</v>
      </c>
      <c r="E28" s="128"/>
      <c r="F28" s="140"/>
      <c r="G28" s="139"/>
      <c r="H28" s="137"/>
      <c r="I28" s="128"/>
      <c r="J28" s="166"/>
      <c r="K28" s="129">
        <v>51.99</v>
      </c>
      <c r="L28" s="129">
        <v>0</v>
      </c>
      <c r="M28" s="129">
        <v>51.99</v>
      </c>
      <c r="N28" s="129">
        <v>51.99</v>
      </c>
      <c r="P28" s="128"/>
      <c r="Q28" s="129">
        <v>53.029800000000002</v>
      </c>
      <c r="R28" s="129">
        <v>0</v>
      </c>
      <c r="S28" s="128"/>
      <c r="T28" s="129">
        <v>54.62</v>
      </c>
      <c r="U28" s="129">
        <v>188.99</v>
      </c>
      <c r="V28" s="128"/>
      <c r="W28" s="237">
        <v>57.35</v>
      </c>
      <c r="X28" s="129">
        <v>0</v>
      </c>
      <c r="Y28" s="128"/>
      <c r="Z28" s="128"/>
      <c r="AA28" s="220">
        <v>63</v>
      </c>
      <c r="AB28" s="129">
        <f>'Income and Expenditure'!P81</f>
        <v>86.95</v>
      </c>
      <c r="AC28" s="129">
        <v>0</v>
      </c>
      <c r="AD28" s="263">
        <f t="shared" si="4"/>
        <v>86.95</v>
      </c>
      <c r="AE28" t="s">
        <v>136</v>
      </c>
      <c r="AH28" s="129">
        <f>AD28*AJ15</f>
        <v>91.297500000000014</v>
      </c>
    </row>
    <row r="29" spans="1:41" x14ac:dyDescent="0.35">
      <c r="A29" s="137" t="s">
        <v>91</v>
      </c>
      <c r="B29" s="140"/>
      <c r="C29" s="139"/>
      <c r="D29" s="217"/>
      <c r="E29" s="128"/>
      <c r="F29" s="140"/>
      <c r="G29" s="139"/>
      <c r="H29" s="137"/>
      <c r="I29" s="128"/>
      <c r="J29" s="166"/>
      <c r="K29" s="129">
        <v>4810</v>
      </c>
      <c r="L29" s="129">
        <v>0</v>
      </c>
      <c r="M29" s="129">
        <v>4810</v>
      </c>
      <c r="N29" s="129"/>
      <c r="O29" s="127" t="s">
        <v>95</v>
      </c>
      <c r="P29" s="128"/>
      <c r="Q29" s="129"/>
      <c r="R29" s="129">
        <v>721.05</v>
      </c>
      <c r="S29" s="128"/>
      <c r="T29" s="129">
        <v>0</v>
      </c>
      <c r="U29" s="129">
        <v>0</v>
      </c>
      <c r="V29" s="128"/>
      <c r="W29" s="237">
        <v>0</v>
      </c>
      <c r="X29" s="129">
        <v>0</v>
      </c>
      <c r="Y29" s="128"/>
      <c r="Z29" s="128"/>
      <c r="AA29" s="220">
        <v>0</v>
      </c>
      <c r="AB29" s="129">
        <f>'Income and Expenditure'!S81</f>
        <v>0</v>
      </c>
      <c r="AC29" s="129">
        <v>0</v>
      </c>
      <c r="AD29" s="129">
        <f t="shared" si="4"/>
        <v>0</v>
      </c>
      <c r="AH29" s="129">
        <v>100</v>
      </c>
      <c r="AI29" t="s">
        <v>315</v>
      </c>
    </row>
    <row r="30" spans="1:41" ht="43.5" x14ac:dyDescent="0.35">
      <c r="A30" s="137" t="s">
        <v>61</v>
      </c>
      <c r="B30" s="140">
        <v>145</v>
      </c>
      <c r="C30" s="139"/>
      <c r="D30" s="217">
        <f t="shared" si="3"/>
        <v>-145</v>
      </c>
      <c r="E30" s="128"/>
      <c r="F30" s="140"/>
      <c r="G30" s="139"/>
      <c r="H30" s="137"/>
      <c r="I30" s="128"/>
      <c r="J30" s="166"/>
      <c r="K30" s="129">
        <v>0</v>
      </c>
      <c r="L30" s="129">
        <v>0</v>
      </c>
      <c r="M30" s="129">
        <v>0</v>
      </c>
      <c r="N30" s="129">
        <v>0</v>
      </c>
      <c r="O30" s="127" t="s">
        <v>96</v>
      </c>
      <c r="P30" s="128"/>
      <c r="Q30" s="129">
        <v>443.7</v>
      </c>
      <c r="R30" s="129">
        <v>354.12</v>
      </c>
      <c r="S30" s="128"/>
      <c r="T30" s="129">
        <v>124.01200000000001</v>
      </c>
      <c r="U30" s="129">
        <v>118.04</v>
      </c>
      <c r="V30" s="128"/>
      <c r="W30" s="237">
        <v>130.21</v>
      </c>
      <c r="X30" s="129">
        <v>118.04</v>
      </c>
      <c r="Y30" s="128"/>
      <c r="Z30" s="128"/>
      <c r="AA30" s="220">
        <v>136.72</v>
      </c>
      <c r="AB30" s="129">
        <f>'Income and Expenditure'!Q81</f>
        <v>0</v>
      </c>
      <c r="AC30" s="129">
        <v>0</v>
      </c>
      <c r="AD30" s="261">
        <f t="shared" si="4"/>
        <v>0</v>
      </c>
      <c r="AF30" s="127" t="s">
        <v>144</v>
      </c>
      <c r="AH30" s="129">
        <v>0</v>
      </c>
    </row>
    <row r="31" spans="1:41" x14ac:dyDescent="0.35">
      <c r="A31" s="137" t="s">
        <v>111</v>
      </c>
      <c r="B31" s="173"/>
      <c r="C31" s="174"/>
      <c r="D31" s="217"/>
      <c r="E31" s="128"/>
      <c r="F31" s="173"/>
      <c r="G31" s="174"/>
      <c r="H31" s="175"/>
      <c r="I31" s="128"/>
      <c r="J31" s="166"/>
      <c r="K31" s="176"/>
      <c r="L31" s="176"/>
      <c r="M31" s="129"/>
      <c r="N31" s="129"/>
      <c r="P31" s="128"/>
      <c r="Q31" s="176"/>
      <c r="R31" s="176">
        <v>0</v>
      </c>
      <c r="S31" s="128"/>
      <c r="T31" s="176">
        <v>1408.365</v>
      </c>
      <c r="U31" s="129">
        <v>725</v>
      </c>
      <c r="V31" s="128"/>
      <c r="W31" s="237">
        <v>0</v>
      </c>
      <c r="X31" s="129">
        <v>0</v>
      </c>
      <c r="Y31" s="128"/>
      <c r="Z31" s="128"/>
      <c r="AA31" s="220">
        <f>W31*$AG$15</f>
        <v>0</v>
      </c>
      <c r="AB31" s="129">
        <f>'Balance Sheet'!E38</f>
        <v>0</v>
      </c>
      <c r="AC31" s="129">
        <v>0</v>
      </c>
      <c r="AD31" s="129">
        <f t="shared" si="4"/>
        <v>0</v>
      </c>
      <c r="AH31" s="129">
        <v>100</v>
      </c>
      <c r="AI31" t="s">
        <v>315</v>
      </c>
    </row>
    <row r="32" spans="1:41" hidden="1" x14ac:dyDescent="0.35">
      <c r="A32" s="137" t="s">
        <v>130</v>
      </c>
      <c r="B32" s="173"/>
      <c r="C32" s="174"/>
      <c r="D32" s="217"/>
      <c r="E32" s="128"/>
      <c r="F32" s="173"/>
      <c r="G32" s="174"/>
      <c r="H32" s="175"/>
      <c r="I32" s="128"/>
      <c r="J32" s="166"/>
      <c r="K32" s="176"/>
      <c r="L32" s="176"/>
      <c r="M32" s="129"/>
      <c r="N32" s="129"/>
      <c r="P32" s="128"/>
      <c r="Q32" s="176"/>
      <c r="R32" s="176"/>
      <c r="S32" s="128"/>
      <c r="T32" s="176"/>
      <c r="U32" s="129"/>
      <c r="V32" s="128"/>
      <c r="W32" s="237">
        <v>3500</v>
      </c>
      <c r="X32" s="129">
        <v>4180</v>
      </c>
      <c r="Y32" s="128"/>
      <c r="Z32" s="128"/>
      <c r="AA32" s="220">
        <v>0</v>
      </c>
      <c r="AB32" s="129">
        <f>'Income and Expenditure'!T81</f>
        <v>0</v>
      </c>
      <c r="AC32" s="129">
        <v>0</v>
      </c>
      <c r="AD32" s="129">
        <f t="shared" si="4"/>
        <v>0</v>
      </c>
      <c r="AH32" s="129">
        <v>0</v>
      </c>
    </row>
    <row r="33" spans="1:35" x14ac:dyDescent="0.35">
      <c r="A33" s="137" t="s">
        <v>150</v>
      </c>
      <c r="B33" s="173"/>
      <c r="C33" s="174"/>
      <c r="D33" s="217"/>
      <c r="E33" s="128"/>
      <c r="F33" s="173"/>
      <c r="G33" s="174"/>
      <c r="H33" s="175"/>
      <c r="I33" s="128"/>
      <c r="J33" s="166"/>
      <c r="K33" s="176"/>
      <c r="L33" s="176"/>
      <c r="M33" s="129"/>
      <c r="N33" s="129"/>
      <c r="P33" s="128"/>
      <c r="Q33" s="176"/>
      <c r="R33" s="176"/>
      <c r="S33" s="128"/>
      <c r="T33" s="176"/>
      <c r="U33" s="129"/>
      <c r="V33" s="128"/>
      <c r="W33" s="137"/>
      <c r="X33" s="237"/>
      <c r="Y33" s="128"/>
      <c r="Z33" s="128"/>
      <c r="AA33" s="220">
        <v>320</v>
      </c>
      <c r="AB33" s="129">
        <f>'Income and Expenditure'!V81</f>
        <v>320</v>
      </c>
      <c r="AC33" s="129">
        <v>0</v>
      </c>
      <c r="AD33" s="261">
        <f t="shared" si="4"/>
        <v>320</v>
      </c>
      <c r="AH33" s="129">
        <v>320</v>
      </c>
    </row>
    <row r="34" spans="1:35" x14ac:dyDescent="0.35">
      <c r="A34" s="137" t="s">
        <v>110</v>
      </c>
      <c r="B34" s="173"/>
      <c r="C34" s="174"/>
      <c r="D34" s="217"/>
      <c r="E34" s="128"/>
      <c r="F34" s="173"/>
      <c r="G34" s="174"/>
      <c r="H34" s="175"/>
      <c r="I34" s="128"/>
      <c r="J34" s="166"/>
      <c r="K34" s="176"/>
      <c r="L34" s="176"/>
      <c r="M34" s="129"/>
      <c r="N34" s="129"/>
      <c r="P34" s="128"/>
      <c r="Q34" s="176">
        <v>0</v>
      </c>
      <c r="R34" s="176">
        <v>430.06</v>
      </c>
      <c r="S34" s="128"/>
      <c r="T34" s="176">
        <v>0</v>
      </c>
      <c r="U34" s="129">
        <v>0</v>
      </c>
      <c r="V34" s="128"/>
      <c r="W34" s="129">
        <v>0</v>
      </c>
      <c r="X34" s="129">
        <v>0</v>
      </c>
      <c r="Y34" s="128"/>
      <c r="Z34" s="128"/>
      <c r="AA34" s="220">
        <f>X34*$AG$15</f>
        <v>0</v>
      </c>
      <c r="AB34" s="129">
        <f>'Income and Expenditure'!W81</f>
        <v>0</v>
      </c>
      <c r="AC34" s="129">
        <v>0</v>
      </c>
      <c r="AD34" s="129">
        <f t="shared" si="4"/>
        <v>0</v>
      </c>
      <c r="AH34" s="129">
        <v>0</v>
      </c>
    </row>
    <row r="35" spans="1:35" ht="15" thickBot="1" x14ac:dyDescent="0.4">
      <c r="A35" s="109" t="s">
        <v>52</v>
      </c>
      <c r="B35" s="106">
        <f>SUM(B16:B30)</f>
        <v>6494.36</v>
      </c>
      <c r="C35" s="99">
        <f t="shared" ref="C35:H35" si="5">SUM(C16:C30)</f>
        <v>8085.6699999999992</v>
      </c>
      <c r="D35" s="217">
        <f t="shared" si="3"/>
        <v>1591.3099999999995</v>
      </c>
      <c r="E35" s="128"/>
      <c r="F35" s="106">
        <f t="shared" si="5"/>
        <v>0</v>
      </c>
      <c r="G35" s="99">
        <f t="shared" si="5"/>
        <v>4958.43</v>
      </c>
      <c r="H35" s="111">
        <f t="shared" si="5"/>
        <v>0</v>
      </c>
      <c r="I35" s="128"/>
      <c r="J35" s="106">
        <v>8801.0062000000016</v>
      </c>
      <c r="K35" s="99">
        <v>10938.962252252251</v>
      </c>
      <c r="L35" s="99">
        <v>0</v>
      </c>
      <c r="M35" s="98">
        <v>10938.962252252251</v>
      </c>
      <c r="N35" s="129">
        <v>2137.9560522522497</v>
      </c>
      <c r="P35" s="128"/>
      <c r="Q35" s="99">
        <f>SUM(Q15:Q30)</f>
        <v>7903.0917172972968</v>
      </c>
      <c r="R35" s="99">
        <f>SUM(R16:R34)</f>
        <v>8098.4</v>
      </c>
      <c r="S35" s="128"/>
      <c r="T35" s="99">
        <f>SUM(T16:T34)</f>
        <v>8659.2171000000017</v>
      </c>
      <c r="U35" s="99">
        <f>SUM(U16:U34)</f>
        <v>11671.04</v>
      </c>
      <c r="V35" s="128"/>
      <c r="W35" s="99">
        <v>13770.960000000001</v>
      </c>
      <c r="X35" s="99">
        <f>SUM(X16:X34)</f>
        <v>15700.970000000001</v>
      </c>
      <c r="Y35" s="128"/>
      <c r="Z35" s="128"/>
      <c r="AA35" s="99">
        <f>SUM(AA16:AA34)</f>
        <v>10773.679999999997</v>
      </c>
      <c r="AB35" s="99">
        <f>SUM(AB16:AB34)</f>
        <v>10747.079999999998</v>
      </c>
      <c r="AC35" s="98">
        <f>SUM(AC16:AC34)</f>
        <v>0</v>
      </c>
      <c r="AD35" s="264">
        <f>SUM(AD16:AD34)</f>
        <v>10747.079999999998</v>
      </c>
      <c r="AH35" s="98">
        <f>SUM(AH16:AH34)</f>
        <v>10945.157000000001</v>
      </c>
    </row>
    <row r="37" spans="1:35" ht="29" x14ac:dyDescent="0.35">
      <c r="A37" s="145" t="s">
        <v>74</v>
      </c>
      <c r="B37" s="146" t="s">
        <v>75</v>
      </c>
      <c r="C37" s="147">
        <f>C12-C35</f>
        <v>-1187.6699999999992</v>
      </c>
      <c r="F37" s="146" t="s">
        <v>75</v>
      </c>
      <c r="G37" s="148">
        <f>G12-G35</f>
        <v>7215.6399999999994</v>
      </c>
      <c r="H37" s="145"/>
      <c r="J37" s="146" t="s">
        <v>75</v>
      </c>
      <c r="K37" s="148">
        <f>K12-K35</f>
        <v>1432.8577477477484</v>
      </c>
      <c r="L37" s="167"/>
      <c r="M37" s="168">
        <v>1432.8577477477484</v>
      </c>
      <c r="Q37" s="160">
        <f>Q12-Q35</f>
        <v>582.24828270270336</v>
      </c>
      <c r="R37" s="160">
        <f>R12-R35</f>
        <v>944.95000000000073</v>
      </c>
      <c r="T37" s="160">
        <f>T12-T35</f>
        <v>513.93289999999797</v>
      </c>
      <c r="U37" s="198">
        <f>U12-U35</f>
        <v>-1287.0300000000007</v>
      </c>
      <c r="W37" s="198">
        <f>W12-W35</f>
        <v>-3173.8100000000013</v>
      </c>
      <c r="X37" s="198">
        <f>X12-X35</f>
        <v>-465.09000000000196</v>
      </c>
      <c r="AA37" s="160">
        <f>AA12-AA35</f>
        <v>72.470000000002983</v>
      </c>
      <c r="AB37" s="148"/>
      <c r="AC37" s="148"/>
      <c r="AD37" s="160">
        <f>AD12-AD35</f>
        <v>484.6100000000024</v>
      </c>
      <c r="AH37" s="160">
        <f>AH12-AH35</f>
        <v>384.53299999999945</v>
      </c>
    </row>
    <row r="38" spans="1:35" x14ac:dyDescent="0.35">
      <c r="K38"/>
    </row>
    <row r="39" spans="1:35" s="134" customFormat="1" ht="29" x14ac:dyDescent="0.35">
      <c r="A39" s="145" t="s">
        <v>86</v>
      </c>
      <c r="C39" s="135">
        <v>3921.81</v>
      </c>
      <c r="E39" s="136"/>
      <c r="G39" s="134">
        <v>2734.14</v>
      </c>
      <c r="H39" s="133"/>
      <c r="I39" s="136"/>
      <c r="K39" s="134">
        <f>G42</f>
        <v>9949.7799999999988</v>
      </c>
      <c r="M39" s="134">
        <v>9949.7799999999988</v>
      </c>
      <c r="O39" s="169"/>
      <c r="P39" s="136"/>
      <c r="Q39" s="134">
        <f>$K$42</f>
        <v>11382.637747747747</v>
      </c>
      <c r="R39" s="134">
        <f>K42</f>
        <v>11382.637747747747</v>
      </c>
      <c r="S39" s="136"/>
      <c r="T39" s="134">
        <f>R42</f>
        <v>12327.58774774775</v>
      </c>
      <c r="U39" s="134">
        <f>R42</f>
        <v>12327.58774774775</v>
      </c>
      <c r="V39" s="136"/>
      <c r="X39" s="134">
        <f>U42</f>
        <v>11040.557747747749</v>
      </c>
      <c r="Y39" s="136"/>
      <c r="Z39" s="136"/>
      <c r="AA39" s="134">
        <f>X42</f>
        <v>10575.467747747747</v>
      </c>
      <c r="AD39" s="134">
        <f>X42</f>
        <v>10575.467747747747</v>
      </c>
      <c r="AF39" s="169"/>
      <c r="AH39" s="130">
        <f>AD42</f>
        <v>11060.07774774775</v>
      </c>
      <c r="AI39" s="134" t="s">
        <v>274</v>
      </c>
    </row>
    <row r="40" spans="1:35" s="134" customFormat="1" ht="43.5" x14ac:dyDescent="0.35">
      <c r="A40" s="145" t="s">
        <v>112</v>
      </c>
      <c r="C40" s="135"/>
      <c r="E40" s="136"/>
      <c r="H40" s="133"/>
      <c r="I40" s="136"/>
      <c r="O40" s="169"/>
      <c r="P40" s="136"/>
      <c r="S40" s="136"/>
      <c r="V40" s="136"/>
      <c r="X40" s="134">
        <v>700</v>
      </c>
      <c r="Y40" s="136"/>
      <c r="Z40" s="136"/>
      <c r="AA40" s="134">
        <v>700</v>
      </c>
      <c r="AD40" s="134">
        <f>200</f>
        <v>200</v>
      </c>
      <c r="AE40" s="169" t="s">
        <v>132</v>
      </c>
      <c r="AF40" s="169" t="s">
        <v>200</v>
      </c>
      <c r="AH40" s="130">
        <f>2000+1000</f>
        <v>3000</v>
      </c>
      <c r="AI40" s="169" t="s">
        <v>316</v>
      </c>
    </row>
    <row r="41" spans="1:35" s="134" customFormat="1" x14ac:dyDescent="0.35">
      <c r="A41" s="145" t="s">
        <v>152</v>
      </c>
      <c r="C41" s="135"/>
      <c r="E41" s="136"/>
      <c r="H41" s="133"/>
      <c r="I41" s="136"/>
      <c r="O41" s="169"/>
      <c r="P41" s="136"/>
      <c r="S41" s="136"/>
      <c r="V41" s="136"/>
      <c r="Y41" s="136"/>
      <c r="Z41" s="136"/>
      <c r="AD41" s="134">
        <f>AD39+AD37-AD40</f>
        <v>10860.07774774775</v>
      </c>
      <c r="AE41" s="169"/>
      <c r="AF41" s="169"/>
      <c r="AH41" s="134">
        <f>AH39+AH37-AH40</f>
        <v>8444.610747747749</v>
      </c>
      <c r="AI41" s="134" t="s">
        <v>317</v>
      </c>
    </row>
    <row r="42" spans="1:35" s="134" customFormat="1" ht="44" thickBot="1" x14ac:dyDescent="0.4">
      <c r="A42" s="145" t="s">
        <v>87</v>
      </c>
      <c r="C42" s="124">
        <f>C39+C12-C35</f>
        <v>2734.1400000000003</v>
      </c>
      <c r="E42" s="136"/>
      <c r="G42" s="120">
        <f>G39+G12-G35</f>
        <v>9949.7799999999988</v>
      </c>
      <c r="H42" s="133"/>
      <c r="I42" s="136"/>
      <c r="K42" s="120">
        <f>K39+K12-K35</f>
        <v>11382.637747747747</v>
      </c>
      <c r="L42" s="121"/>
      <c r="M42" s="120">
        <v>11382.637747747747</v>
      </c>
      <c r="O42" s="169"/>
      <c r="P42" s="136"/>
      <c r="Q42" s="120">
        <f>Q12-Q35+$AD$39</f>
        <v>11157.71603045045</v>
      </c>
      <c r="R42" s="120">
        <f>R39+R12-R35</f>
        <v>12327.58774774775</v>
      </c>
      <c r="S42" s="136"/>
      <c r="U42" s="120">
        <f>U39+U37</f>
        <v>11040.557747747749</v>
      </c>
      <c r="V42" s="136"/>
      <c r="X42" s="120">
        <f>X39+X37</f>
        <v>10575.467747747747</v>
      </c>
      <c r="Y42" s="136"/>
      <c r="Z42" s="136"/>
      <c r="AA42" s="120">
        <f>AA39+AA37-AA40</f>
        <v>9947.9377477477501</v>
      </c>
      <c r="AB42" s="170"/>
      <c r="AC42" s="170"/>
      <c r="AD42" s="120">
        <f>AD39+AD37</f>
        <v>11060.07774774775</v>
      </c>
      <c r="AF42" s="169"/>
      <c r="AH42" s="120">
        <f>AH39+AH37</f>
        <v>11444.610747747749</v>
      </c>
    </row>
    <row r="43" spans="1:35" s="134" customFormat="1" ht="15" thickTop="1" x14ac:dyDescent="0.35">
      <c r="A43" s="133"/>
      <c r="C43" s="135"/>
      <c r="E43" s="136"/>
      <c r="H43" s="133"/>
      <c r="I43" s="136"/>
      <c r="O43" s="169"/>
      <c r="P43" s="136"/>
      <c r="S43" s="136"/>
      <c r="V43" s="136"/>
      <c r="Y43" s="136"/>
      <c r="Z43" s="136"/>
      <c r="AF43" s="169"/>
      <c r="AH43" s="130"/>
    </row>
    <row r="44" spans="1:35" s="134" customFormat="1" x14ac:dyDescent="0.35">
      <c r="A44" s="133"/>
      <c r="C44" s="135"/>
      <c r="E44" s="136"/>
      <c r="H44" s="133"/>
      <c r="I44" s="136"/>
      <c r="M44" s="170"/>
      <c r="O44" s="169"/>
      <c r="P44" s="136"/>
      <c r="S44" s="136"/>
      <c r="V44" s="136"/>
      <c r="Y44" s="136"/>
      <c r="Z44" s="136"/>
      <c r="AF44" s="169"/>
      <c r="AH44" s="130"/>
    </row>
    <row r="45" spans="1:35" ht="105" customHeight="1" x14ac:dyDescent="0.35">
      <c r="Q45" s="171"/>
      <c r="R45" s="171"/>
      <c r="AA45" s="171"/>
      <c r="AB45" s="171"/>
      <c r="AC45" s="171"/>
      <c r="AD45" s="171"/>
    </row>
    <row r="47" spans="1:35" x14ac:dyDescent="0.35">
      <c r="Q47" s="170"/>
      <c r="R47" s="170"/>
      <c r="AA47" s="170"/>
      <c r="AB47" s="170"/>
      <c r="AC47" s="170"/>
      <c r="AD47" s="170"/>
    </row>
  </sheetData>
  <mergeCells count="3">
    <mergeCell ref="B1:D1"/>
    <mergeCell ref="F1:H1"/>
    <mergeCell ref="J1:O1"/>
  </mergeCells>
  <conditionalFormatting sqref="D4:E11 D16:E35">
    <cfRule type="colorScale" priority="24">
      <colorScale>
        <cfvo type="num" val="&quot;&gt;=0&quot;"/>
        <cfvo type="num" val="&quot;&gt;0&quot;"/>
        <color rgb="FF92D050"/>
        <color rgb="FFFF0000"/>
      </colorScale>
    </cfRule>
  </conditionalFormatting>
  <conditionalFormatting sqref="I4:I11 I16:I35">
    <cfRule type="colorScale" priority="22">
      <colorScale>
        <cfvo type="num" val="&quot;&gt;=0&quot;"/>
        <cfvo type="num" val="&quot;&gt;0&quot;"/>
        <color rgb="FF92D050"/>
        <color rgb="FFFF0000"/>
      </colorScale>
    </cfRule>
  </conditionalFormatting>
  <conditionalFormatting sqref="P4:P11 P16:P35">
    <cfRule type="colorScale" priority="21">
      <colorScale>
        <cfvo type="num" val="&quot;&gt;=0&quot;"/>
        <cfvo type="num" val="&quot;&gt;0&quot;"/>
        <color rgb="FF92D050"/>
        <color rgb="FFFF0000"/>
      </colorScale>
    </cfRule>
  </conditionalFormatting>
  <conditionalFormatting sqref="S4:S11 V4:V11 S16:S35 V16:V35 Y16:Z35 Y4:Z11">
    <cfRule type="colorScale" priority="10">
      <colorScale>
        <cfvo type="num" val="&quot;&gt;=0&quot;"/>
        <cfvo type="num" val="&quot;&gt;0&quot;"/>
        <color rgb="FF92D050"/>
        <color rgb="FFFF0000"/>
      </colorScale>
    </cfRule>
  </conditionalFormatting>
  <conditionalFormatting sqref="AD37">
    <cfRule type="cellIs" dxfId="3" priority="15" operator="lessThan">
      <formula>0</formula>
    </cfRule>
    <cfRule type="cellIs" dxfId="2" priority="16" operator="greaterThan">
      <formula>0</formula>
    </cfRule>
  </conditionalFormatting>
  <conditionalFormatting sqref="AH3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2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Income and Expenditure</vt:lpstr>
      <vt:lpstr>VAT</vt:lpstr>
      <vt:lpstr>S137</vt:lpstr>
      <vt:lpstr>Bank Statements</vt:lpstr>
      <vt:lpstr>Balance Sheet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Stroud</dc:creator>
  <cp:lastModifiedBy>Caroline Crowder</cp:lastModifiedBy>
  <cp:lastPrinted>2025-04-02T08:20:01Z</cp:lastPrinted>
  <dcterms:created xsi:type="dcterms:W3CDTF">2017-05-03T11:38:41Z</dcterms:created>
  <dcterms:modified xsi:type="dcterms:W3CDTF">2025-05-21T09:01:38Z</dcterms:modified>
</cp:coreProperties>
</file>