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\OneDrive\Desktop\Smisby Parish Council\Smisby Parish Council 2023 24\Finances\"/>
    </mc:Choice>
  </mc:AlternateContent>
  <xr:revisionPtr revIDLastSave="0" documentId="8_{7AD63181-6C41-4ADF-A864-5373EA124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come and Expenditure" sheetId="1" r:id="rId1"/>
    <sheet name="VAT" sheetId="5" r:id="rId2"/>
    <sheet name="S137" sheetId="6" r:id="rId3"/>
    <sheet name="Bank Statements" sheetId="2" r:id="rId4"/>
    <sheet name="Balance Sheet" sheetId="3" r:id="rId5"/>
    <sheet name="Budget" sheetId="4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8" i="4" l="1"/>
  <c r="U40" i="4"/>
  <c r="AC34" i="4"/>
  <c r="AC33" i="4"/>
  <c r="AC32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5" i="4"/>
  <c r="AC6" i="4"/>
  <c r="AC7" i="4"/>
  <c r="AC8" i="4"/>
  <c r="AC9" i="4"/>
  <c r="AC10" i="4"/>
  <c r="AC11" i="4"/>
  <c r="AC12" i="4"/>
  <c r="AC4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5" i="4"/>
  <c r="W6" i="4"/>
  <c r="W7" i="4"/>
  <c r="W8" i="4"/>
  <c r="W9" i="4"/>
  <c r="W10" i="4"/>
  <c r="W11" i="4"/>
  <c r="W12" i="4"/>
  <c r="W4" i="4"/>
  <c r="AA39" i="4"/>
  <c r="AA38" i="4"/>
  <c r="B5" i="6"/>
  <c r="B3" i="6"/>
  <c r="G71" i="2"/>
  <c r="G60" i="2"/>
  <c r="G61" i="2" s="1"/>
  <c r="G62" i="2" s="1"/>
  <c r="G63" i="2" s="1"/>
  <c r="G64" i="2" s="1"/>
  <c r="G65" i="2" s="1"/>
  <c r="G66" i="2" s="1"/>
  <c r="G67" i="2" s="1"/>
  <c r="E74" i="1"/>
  <c r="E73" i="1"/>
  <c r="O68" i="1"/>
  <c r="AF39" i="4"/>
  <c r="AF12" i="4"/>
  <c r="E62" i="1" l="1"/>
  <c r="E63" i="1"/>
  <c r="E64" i="1"/>
  <c r="E65" i="1"/>
  <c r="E66" i="1"/>
  <c r="E67" i="1"/>
  <c r="E68" i="1"/>
  <c r="E69" i="1"/>
  <c r="E70" i="1"/>
  <c r="E71" i="1"/>
  <c r="E72" i="1"/>
  <c r="E75" i="1"/>
  <c r="AB39" i="4" l="1"/>
  <c r="E56" i="1"/>
  <c r="E57" i="1"/>
  <c r="E58" i="1"/>
  <c r="E59" i="1"/>
  <c r="E60" i="1"/>
  <c r="E61" i="1"/>
  <c r="N55" i="1" l="1"/>
  <c r="E47" i="1" l="1"/>
  <c r="E46" i="1"/>
  <c r="T76" i="1"/>
  <c r="E36" i="3" s="1"/>
  <c r="Z32" i="4" l="1"/>
  <c r="AB32" i="4" s="1"/>
  <c r="E40" i="1"/>
  <c r="E39" i="1"/>
  <c r="H24" i="1"/>
  <c r="F3" i="1"/>
  <c r="U34" i="4" l="1"/>
  <c r="U12" i="4"/>
  <c r="U36" i="4" s="1"/>
  <c r="V12" i="4"/>
  <c r="V34" i="4" l="1"/>
  <c r="V36" i="4" s="1"/>
  <c r="AB11" i="4"/>
  <c r="G5" i="2"/>
  <c r="G6" i="2" s="1"/>
  <c r="G7" i="2" s="1"/>
  <c r="Y22" i="4" l="1"/>
  <c r="Y17" i="4"/>
  <c r="Y34" i="4" s="1"/>
  <c r="Y7" i="4"/>
  <c r="Y12" i="4" s="1"/>
  <c r="E43" i="1" l="1"/>
  <c r="E42" i="1"/>
  <c r="E41" i="1"/>
  <c r="E38" i="1"/>
  <c r="E37" i="1"/>
  <c r="E36" i="1"/>
  <c r="E34" i="1"/>
  <c r="E33" i="1"/>
  <c r="E32" i="1"/>
  <c r="E30" i="1"/>
  <c r="E28" i="1"/>
  <c r="E27" i="1"/>
  <c r="E25" i="1"/>
  <c r="E24" i="1"/>
  <c r="E23" i="1"/>
  <c r="E22" i="1"/>
  <c r="E21" i="1"/>
  <c r="E20" i="1"/>
  <c r="E19" i="1"/>
  <c r="E18" i="1"/>
  <c r="E44" i="1"/>
  <c r="E35" i="1"/>
  <c r="E31" i="1"/>
  <c r="E29" i="1"/>
  <c r="E26" i="1"/>
  <c r="U76" i="1"/>
  <c r="E37" i="3" s="1"/>
  <c r="Z31" i="4" s="1"/>
  <c r="AB31" i="4" s="1"/>
  <c r="AF31" i="4" s="1"/>
  <c r="R34" i="4"/>
  <c r="R12" i="4"/>
  <c r="C39" i="3"/>
  <c r="E50" i="1"/>
  <c r="E9" i="1"/>
  <c r="R36" i="4" l="1"/>
  <c r="Y36" i="4"/>
  <c r="E8" i="1"/>
  <c r="E55" i="1"/>
  <c r="E54" i="1"/>
  <c r="E53" i="1"/>
  <c r="E52" i="1"/>
  <c r="E51" i="1"/>
  <c r="E49" i="1"/>
  <c r="E48" i="1"/>
  <c r="E45" i="1"/>
  <c r="S76" i="1" l="1"/>
  <c r="F76" i="1"/>
  <c r="AA34" i="4"/>
  <c r="V76" i="1"/>
  <c r="E38" i="3" s="1"/>
  <c r="Z33" i="4" l="1"/>
  <c r="AB33" i="4" s="1"/>
  <c r="AF33" i="4" s="1"/>
  <c r="Q76" i="1"/>
  <c r="E35" i="3" s="1"/>
  <c r="Z30" i="4" l="1"/>
  <c r="AB30" i="4" s="1"/>
  <c r="AA12" i="4"/>
  <c r="K36" i="4"/>
  <c r="AA36" i="4" l="1"/>
  <c r="AA40" i="4"/>
  <c r="C48" i="3"/>
  <c r="E10" i="1"/>
  <c r="R76" i="1" l="1"/>
  <c r="E32" i="3" l="1"/>
  <c r="Z27" i="4"/>
  <c r="AB27" i="4" s="1"/>
  <c r="Z29" i="4"/>
  <c r="AB29" i="4" s="1"/>
  <c r="AF29" i="4" s="1"/>
  <c r="E33" i="3" l="1"/>
  <c r="G20" i="4" l="1"/>
  <c r="Q12" i="4" l="1"/>
  <c r="P76" i="1" l="1"/>
  <c r="Z28" i="4" s="1"/>
  <c r="AB28" i="4" s="1"/>
  <c r="AF28" i="4" s="1"/>
  <c r="E12" i="1"/>
  <c r="E7" i="1"/>
  <c r="E6" i="1"/>
  <c r="E5" i="1"/>
  <c r="E4" i="1"/>
  <c r="E3" i="1"/>
  <c r="K14" i="1"/>
  <c r="Z10" i="4" s="1"/>
  <c r="AB10" i="4" s="1"/>
  <c r="E34" i="3" l="1"/>
  <c r="E12" i="3"/>
  <c r="H12" i="4" l="1"/>
  <c r="G12" i="4"/>
  <c r="F12" i="4"/>
  <c r="C12" i="4"/>
  <c r="B12" i="4"/>
  <c r="D30" i="4" l="1"/>
  <c r="D28" i="4"/>
  <c r="D27" i="4"/>
  <c r="D26" i="4"/>
  <c r="D25" i="4"/>
  <c r="D24" i="4"/>
  <c r="D23" i="4"/>
  <c r="D22" i="4"/>
  <c r="D21" i="4"/>
  <c r="D20" i="4"/>
  <c r="D18" i="4"/>
  <c r="D16" i="4"/>
  <c r="D9" i="4"/>
  <c r="D8" i="4"/>
  <c r="D7" i="4"/>
  <c r="D6" i="4"/>
  <c r="D5" i="4"/>
  <c r="D4" i="4"/>
  <c r="C34" i="4"/>
  <c r="C40" i="4" s="1"/>
  <c r="F34" i="4"/>
  <c r="G34" i="4"/>
  <c r="H34" i="4"/>
  <c r="G36" i="4" l="1"/>
  <c r="G40" i="4"/>
  <c r="K38" i="4" s="1"/>
  <c r="K40" i="4" s="1"/>
  <c r="C36" i="4"/>
  <c r="D12" i="4"/>
  <c r="R38" i="4" l="1"/>
  <c r="R40" i="4" s="1"/>
  <c r="Q38" i="4"/>
  <c r="B19" i="4"/>
  <c r="D19" i="4" s="1"/>
  <c r="B17" i="4"/>
  <c r="V38" i="4" l="1"/>
  <c r="V40" i="4" s="1"/>
  <c r="Z38" i="4" s="1"/>
  <c r="U38" i="4"/>
  <c r="D17" i="4"/>
  <c r="B34" i="4"/>
  <c r="D34" i="4" s="1"/>
  <c r="L14" i="1" l="1"/>
  <c r="Z9" i="4" s="1"/>
  <c r="AB9" i="4" s="1"/>
  <c r="J14" i="1"/>
  <c r="I14" i="1"/>
  <c r="Z7" i="4" s="1"/>
  <c r="AB7" i="4" s="1"/>
  <c r="H14" i="1"/>
  <c r="E76" i="1"/>
  <c r="E14" i="3" l="1"/>
  <c r="Z6" i="4"/>
  <c r="AB6" i="4" s="1"/>
  <c r="E13" i="3"/>
  <c r="Z8" i="4"/>
  <c r="AB8" i="4" s="1"/>
  <c r="E11" i="3"/>
  <c r="E9" i="3"/>
  <c r="G14" i="1"/>
  <c r="Z5" i="4" l="1"/>
  <c r="AB5" i="4" s="1"/>
  <c r="E10" i="3"/>
  <c r="F9" i="3"/>
  <c r="W76" i="1" l="1"/>
  <c r="Z26" i="4" s="1"/>
  <c r="AB26" i="4" s="1"/>
  <c r="AF26" i="4" s="1"/>
  <c r="E31" i="3" l="1"/>
  <c r="M76" i="1"/>
  <c r="Z23" i="4" s="1"/>
  <c r="AB23" i="4" s="1"/>
  <c r="AF23" i="4" s="1"/>
  <c r="L76" i="1"/>
  <c r="Z22" i="4" s="1"/>
  <c r="AB22" i="4" s="1"/>
  <c r="AF22" i="4" s="1"/>
  <c r="K76" i="1"/>
  <c r="Z21" i="4" s="1"/>
  <c r="AB21" i="4" s="1"/>
  <c r="AF21" i="4" s="1"/>
  <c r="I76" i="1"/>
  <c r="G76" i="1"/>
  <c r="Z17" i="4" s="1"/>
  <c r="AB17" i="4" s="1"/>
  <c r="AF17" i="4" s="1"/>
  <c r="Z16" i="4"/>
  <c r="AB16" i="4" s="1"/>
  <c r="N76" i="1"/>
  <c r="Z24" i="4" s="1"/>
  <c r="AB24" i="4" s="1"/>
  <c r="AF24" i="4" s="1"/>
  <c r="O76" i="1"/>
  <c r="Z25" i="4" s="1"/>
  <c r="AB25" i="4" s="1"/>
  <c r="AF25" i="4" s="1"/>
  <c r="E22" i="3" l="1"/>
  <c r="Z19" i="4"/>
  <c r="AB19" i="4" s="1"/>
  <c r="AF19" i="4" s="1"/>
  <c r="E28" i="3"/>
  <c r="E25" i="3"/>
  <c r="E26" i="3"/>
  <c r="E27" i="3"/>
  <c r="E29" i="3"/>
  <c r="E24" i="3"/>
  <c r="E30" i="3"/>
  <c r="H76" i="1"/>
  <c r="Z18" i="4" s="1"/>
  <c r="AB18" i="4" s="1"/>
  <c r="AF18" i="4" s="1"/>
  <c r="E21" i="3" l="1"/>
  <c r="C16" i="3" l="1"/>
  <c r="F30" i="3"/>
  <c r="F29" i="3"/>
  <c r="F25" i="3"/>
  <c r="F27" i="3"/>
  <c r="F24" i="3"/>
  <c r="F22" i="3"/>
  <c r="F26" i="3"/>
  <c r="F10" i="3"/>
  <c r="F14" i="1"/>
  <c r="E14" i="1"/>
  <c r="E46" i="3" s="1"/>
  <c r="C46" i="3" l="1"/>
  <c r="C53" i="3" s="1"/>
  <c r="M14" i="1"/>
  <c r="Z4" i="4"/>
  <c r="AB4" i="4" s="1"/>
  <c r="F11" i="3"/>
  <c r="E8" i="3"/>
  <c r="F8" i="3" s="1"/>
  <c r="F28" i="3"/>
  <c r="F21" i="3"/>
  <c r="E44" i="3" l="1"/>
  <c r="D58" i="3"/>
  <c r="D60" i="3" s="1"/>
  <c r="AB12" i="4"/>
  <c r="Z12" i="4"/>
  <c r="E16" i="3"/>
  <c r="F16" i="3" s="1"/>
  <c r="J76" i="1" l="1"/>
  <c r="E48" i="3" l="1"/>
  <c r="E53" i="3" s="1"/>
  <c r="E58" i="3" s="1"/>
  <c r="E60" i="3" s="1"/>
  <c r="Z20" i="4"/>
  <c r="E23" i="3"/>
  <c r="E39" i="3" s="1"/>
  <c r="X76" i="1"/>
  <c r="Z34" i="4" l="1"/>
  <c r="Z36" i="4" s="1"/>
  <c r="AB20" i="4"/>
  <c r="AF20" i="4" s="1"/>
  <c r="AF34" i="4" s="1"/>
  <c r="AF36" i="4" s="1"/>
  <c r="F39" i="3"/>
  <c r="F23" i="3"/>
  <c r="Z40" i="4" l="1"/>
  <c r="AB38" i="4" s="1"/>
  <c r="AB34" i="4"/>
  <c r="AB40" i="4" l="1"/>
  <c r="AF38" i="4" s="1"/>
  <c r="AF40" i="4" s="1"/>
  <c r="AB36" i="4"/>
  <c r="Q34" i="4"/>
  <c r="Q36" i="4" l="1"/>
  <c r="Q40" i="4"/>
  <c r="G8" i="2"/>
  <c r="G9" i="2" l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l="1"/>
  <c r="G54" i="2" s="1"/>
  <c r="G55" i="2" s="1"/>
  <c r="G56" i="2" s="1"/>
  <c r="G57" i="2" s="1"/>
  <c r="G58" i="2" s="1"/>
  <c r="G59" i="2" s="1"/>
</calcChain>
</file>

<file path=xl/sharedStrings.xml><?xml version="1.0" encoding="utf-8"?>
<sst xmlns="http://schemas.openxmlformats.org/spreadsheetml/2006/main" count="682" uniqueCount="291">
  <si>
    <t>Date</t>
  </si>
  <si>
    <t>Received from</t>
  </si>
  <si>
    <t>Particulars of receipt</t>
  </si>
  <si>
    <t>Total</t>
  </si>
  <si>
    <t>Precept</t>
  </si>
  <si>
    <t>Council Tax Support</t>
  </si>
  <si>
    <t>VAT reclaim</t>
  </si>
  <si>
    <t>Sponsorship &amp; Grants</t>
  </si>
  <si>
    <t>Expenditure</t>
  </si>
  <si>
    <t>to whom paid</t>
  </si>
  <si>
    <t>Particulars of payment</t>
  </si>
  <si>
    <t>Ground care &amp; rent</t>
  </si>
  <si>
    <t xml:space="preserve">Lengthsman </t>
  </si>
  <si>
    <t>Insurance</t>
  </si>
  <si>
    <t>Section 137</t>
  </si>
  <si>
    <t>Lengthsman</t>
  </si>
  <si>
    <t>Sheet No &amp; Statement date</t>
  </si>
  <si>
    <t>Pay in book / cheque book no.</t>
  </si>
  <si>
    <t>Received From / Paid to</t>
  </si>
  <si>
    <t>Details</t>
  </si>
  <si>
    <t>Balance</t>
  </si>
  <si>
    <t>Balance at bank</t>
  </si>
  <si>
    <t>N/A</t>
  </si>
  <si>
    <t>Year End Balance</t>
  </si>
  <si>
    <t>Smisby Parish Council</t>
  </si>
  <si>
    <t>Receipts</t>
  </si>
  <si>
    <t>£</t>
  </si>
  <si>
    <t>Grants and Donations</t>
  </si>
  <si>
    <t>Total Receipts</t>
  </si>
  <si>
    <t>Payments</t>
  </si>
  <si>
    <t>Newsletter</t>
  </si>
  <si>
    <t>Total Payments</t>
  </si>
  <si>
    <t>Receipts and Payments Summary</t>
  </si>
  <si>
    <t>These cumulative funds are represented by:</t>
  </si>
  <si>
    <t xml:space="preserve">Balance at </t>
  </si>
  <si>
    <t>Current account</t>
  </si>
  <si>
    <t xml:space="preserve">Balance </t>
  </si>
  <si>
    <t>and reflects the payments during the year.</t>
  </si>
  <si>
    <t>Signed</t>
  </si>
  <si>
    <t>Chairman</t>
  </si>
  <si>
    <t>Responsible Financial officer</t>
  </si>
  <si>
    <t>VAT</t>
  </si>
  <si>
    <t>PAYMENTS (outgoing)</t>
  </si>
  <si>
    <t>Concurrent expenses</t>
  </si>
  <si>
    <t>VAT on payments</t>
  </si>
  <si>
    <t>RECEIPTS (incoming)</t>
  </si>
  <si>
    <t>%</t>
  </si>
  <si>
    <t xml:space="preserve"> Change</t>
  </si>
  <si>
    <t>Audit</t>
  </si>
  <si>
    <t>Transactions cleared in bank account</t>
  </si>
  <si>
    <t>Concurrent
Expenses</t>
  </si>
  <si>
    <t>Training and Subscription</t>
  </si>
  <si>
    <t>Litterbin</t>
  </si>
  <si>
    <t>Income</t>
  </si>
  <si>
    <t>TOTAL</t>
  </si>
  <si>
    <t>VAT paid</t>
  </si>
  <si>
    <t>BACS/Cheq no</t>
  </si>
  <si>
    <t>BACS/Pay in book no</t>
  </si>
  <si>
    <t>Grounds Care and Rent</t>
  </si>
  <si>
    <t>Subscription and Training</t>
  </si>
  <si>
    <t>Variance to budget</t>
  </si>
  <si>
    <t>Litterbin Service</t>
  </si>
  <si>
    <t>Section 137 (donations such as poppy wreath)</t>
  </si>
  <si>
    <t>Sponsorship, Grants and Donations</t>
  </si>
  <si>
    <t>Defib expenses</t>
  </si>
  <si>
    <t>Previous years Concurrent Expenses</t>
  </si>
  <si>
    <t>2018 - 19</t>
  </si>
  <si>
    <t>Budget</t>
  </si>
  <si>
    <t>Actual Year End</t>
  </si>
  <si>
    <t>2019 - 20</t>
  </si>
  <si>
    <t>2020 - 21</t>
  </si>
  <si>
    <t>Forecast to Year End</t>
  </si>
  <si>
    <t>Forecast Total Year End</t>
  </si>
  <si>
    <t xml:space="preserve"> Budget</t>
  </si>
  <si>
    <t>Surplus/Defecit at year end</t>
  </si>
  <si>
    <t>Actual</t>
  </si>
  <si>
    <t>Newsletter Adverts</t>
  </si>
  <si>
    <t>Newsletter adverts</t>
  </si>
  <si>
    <t>Salary and HMRC payments</t>
  </si>
  <si>
    <t>Parish Clerk Salary and HMRC payments</t>
  </si>
  <si>
    <t>Grounds Care &amp; Rent</t>
  </si>
  <si>
    <t>Defib Expenses</t>
  </si>
  <si>
    <t>Current day</t>
  </si>
  <si>
    <t>Parish clerk salary and HMRC payments</t>
  </si>
  <si>
    <t>Internal audit cost less as a smaller audit done due Covid restrictions, this will increase again next year</t>
  </si>
  <si>
    <t>Payrise given hence this has cost more than expected</t>
  </si>
  <si>
    <t>wreath bought last financial year, will increase again next year</t>
  </si>
  <si>
    <t>Balances brought forward</t>
  </si>
  <si>
    <t>Balances to carry forward (actual or predicted)</t>
  </si>
  <si>
    <t>FORECAST ONLY</t>
  </si>
  <si>
    <t>Notes for 2020 - 21</t>
  </si>
  <si>
    <t>One more edition this year due</t>
  </si>
  <si>
    <t>Parish field rent still to pay</t>
  </si>
  <si>
    <t>Telephone Box</t>
  </si>
  <si>
    <t>Office Expenses</t>
  </si>
  <si>
    <t>Village Hall Hire/Zoom meeting</t>
  </si>
  <si>
    <t>Village Hall Hire/Zoon Meetings</t>
  </si>
  <si>
    <t>Electrical work still to pay for</t>
  </si>
  <si>
    <t>litter bin not paid for previous year or this year yet, chased SDDC for invoice</t>
  </si>
  <si>
    <t xml:space="preserve">Payments not cleared </t>
  </si>
  <si>
    <t>SPC Balance at start of financial year</t>
  </si>
  <si>
    <t>SPC Balance at financial year end</t>
  </si>
  <si>
    <t>less uncleared transactions as at year end</t>
  </si>
  <si>
    <t>Notes</t>
  </si>
  <si>
    <t>Actual to date</t>
  </si>
  <si>
    <t>Transaction Date</t>
  </si>
  <si>
    <t xml:space="preserve">For </t>
  </si>
  <si>
    <t>To</t>
  </si>
  <si>
    <t>VAT charged</t>
  </si>
  <si>
    <t>VAT number</t>
  </si>
  <si>
    <t>Speedwatch</t>
  </si>
  <si>
    <t>Lockup Repairs</t>
  </si>
  <si>
    <t>Earmarked reserves for maintenance of Council assets</t>
  </si>
  <si>
    <t>2021 - 22</t>
  </si>
  <si>
    <t>Current</t>
  </si>
  <si>
    <t>Lockup repairs</t>
  </si>
  <si>
    <t>Miscellaneous refunds</t>
  </si>
  <si>
    <t>increase of £1000 across a council tax base of 123 properties</t>
  </si>
  <si>
    <t>Based on maximum amount allowed to claim</t>
  </si>
  <si>
    <t>Assume same rate as previous year</t>
  </si>
  <si>
    <t>Based on cheapest quote for grounds maintenance</t>
  </si>
  <si>
    <t>Unless specified all costs worked on 5% increase</t>
  </si>
  <si>
    <t>same as previous year</t>
  </si>
  <si>
    <t>12 monthly playground inspection £451.80
annual inspection £75
(Budget for repairs £1000 to go into capital allocations/earmarked reserves)</t>
  </si>
  <si>
    <t>2022-23</t>
  </si>
  <si>
    <t>2023/2024</t>
  </si>
  <si>
    <t>Year End Total 2023/2024</t>
  </si>
  <si>
    <t>Current Account Cash Flow 2023/24</t>
  </si>
  <si>
    <t>Receipts &amp; payments and balance for year ending 31 March 2024</t>
  </si>
  <si>
    <t>31/03/2023 (previous financial year)</t>
  </si>
  <si>
    <t>2023-24</t>
  </si>
  <si>
    <t>SDDC</t>
  </si>
  <si>
    <t>HMRC</t>
  </si>
  <si>
    <t>Vat reclaim</t>
  </si>
  <si>
    <t>DALC</t>
  </si>
  <si>
    <t>Annual subscription</t>
  </si>
  <si>
    <t>NI and tax</t>
  </si>
  <si>
    <t>Amazon (via clerk)</t>
  </si>
  <si>
    <t>Clerk</t>
  </si>
  <si>
    <t>H Salt</t>
  </si>
  <si>
    <t>BHIB</t>
  </si>
  <si>
    <t>Audit mileage</t>
  </si>
  <si>
    <t>Smisby Village Hall</t>
  </si>
  <si>
    <t>Hall hire</t>
  </si>
  <si>
    <t>Internet transfer</t>
  </si>
  <si>
    <t>Folder</t>
  </si>
  <si>
    <t>A4 lever arch folder</t>
  </si>
  <si>
    <t>Wilko</t>
  </si>
  <si>
    <t>Council Tax Support Grant</t>
  </si>
  <si>
    <t>Royal Mail (via clerk)</t>
  </si>
  <si>
    <t>Postage</t>
  </si>
  <si>
    <t>Clerk salary (March 2023)</t>
  </si>
  <si>
    <t>Clerk salary (April 2023)</t>
  </si>
  <si>
    <t>Wilko (via clerk)</t>
  </si>
  <si>
    <t>Folder index</t>
  </si>
  <si>
    <t>01/04/2023-28/04/2023</t>
  </si>
  <si>
    <t>Automated Credit</t>
  </si>
  <si>
    <t>Precept and Support Grant</t>
  </si>
  <si>
    <t>Online Transaction</t>
  </si>
  <si>
    <t>Clerk Salary (march 2023)</t>
  </si>
  <si>
    <t>Amazon</t>
  </si>
  <si>
    <t>Clerk salary (May 2023)</t>
  </si>
  <si>
    <t>SJL Landscapes Limited</t>
  </si>
  <si>
    <t>Grounds maintenance</t>
  </si>
  <si>
    <t>The Parochial Charity</t>
  </si>
  <si>
    <t>Jubiliee Field Rent 2023 24</t>
  </si>
  <si>
    <t>Clerk salary (June 2023)</t>
  </si>
  <si>
    <t>Printer ink</t>
  </si>
  <si>
    <t>South Derbyshire District Council</t>
  </si>
  <si>
    <t>Annual playground inspection</t>
  </si>
  <si>
    <t>Playground Inspections</t>
  </si>
  <si>
    <t>East Midlands Audit Services Ltd</t>
  </si>
  <si>
    <t>Refuse bags</t>
  </si>
  <si>
    <t>Home Bargains</t>
  </si>
  <si>
    <t>Keys for gate access</t>
  </si>
  <si>
    <t xml:space="preserve">PCC reimbursement for extra grounds maintenance £644
Footpath grant from DCC of £495 - not applied for this year </t>
  </si>
  <si>
    <t>Salary (July 2023)</t>
  </si>
  <si>
    <t>Playground inspection and maintenance (June 23)</t>
  </si>
  <si>
    <t>Playground inspection and maintenance</t>
  </si>
  <si>
    <t>L South</t>
  </si>
  <si>
    <t>Website</t>
  </si>
  <si>
    <t>Councillor training course</t>
  </si>
  <si>
    <t>H J Nicholls Ltd</t>
  </si>
  <si>
    <t>Footpath tarmac</t>
  </si>
  <si>
    <t>Footpath</t>
  </si>
  <si>
    <t>claimed</t>
  </si>
  <si>
    <t>29/04/2023 - 01/06/2023</t>
  </si>
  <si>
    <t>Salary (August 2023)</t>
  </si>
  <si>
    <t>Play Area Inspections and repairs</t>
  </si>
  <si>
    <t xml:space="preserve">£1000 for playground equipment (amount is remaining from this reserve)
</t>
  </si>
  <si>
    <t>Playground inspection, maintenance and repairs</t>
  </si>
  <si>
    <t>01/07/2023-01/09/2023</t>
  </si>
  <si>
    <t>02/06/2023-30/06/2023</t>
  </si>
  <si>
    <t>SJL Landscapes</t>
  </si>
  <si>
    <t>Home bargains (via H Salt)</t>
  </si>
  <si>
    <t>expenses (audit mileage and printer ink)</t>
  </si>
  <si>
    <t>East Midlands Audit</t>
  </si>
  <si>
    <t>Internal audit</t>
  </si>
  <si>
    <t>Parochial Charity</t>
  </si>
  <si>
    <t>Field rent</t>
  </si>
  <si>
    <t>Timsons (via C Taft)</t>
  </si>
  <si>
    <t>Keys</t>
  </si>
  <si>
    <t>Pavement tarmac</t>
  </si>
  <si>
    <t>Clerk salary (July 2023)</t>
  </si>
  <si>
    <t>Forecast Present Day to March 23</t>
  </si>
  <si>
    <t>Direct Debit</t>
  </si>
  <si>
    <t>Information Commissioner's Office</t>
  </si>
  <si>
    <t>Data Protection Fee</t>
  </si>
  <si>
    <t>02/08/2023-01/09/2023</t>
  </si>
  <si>
    <t>Salary (September 2023)</t>
  </si>
  <si>
    <t>Playground inspection and maintenance (August 23)</t>
  </si>
  <si>
    <t>Poppy wreath</t>
  </si>
  <si>
    <t>Royal British Legion Poppy shop</t>
  </si>
  <si>
    <t>Playground inspection and maintenance (July 23) 
plus repairs to multi-play platform</t>
  </si>
  <si>
    <t>Salary (October 23)</t>
  </si>
  <si>
    <t>Playground inspection and maintenance (September 23)</t>
  </si>
  <si>
    <t>Royal British Legion Poppy Shop</t>
  </si>
  <si>
    <t>Grant towards pavement repairs</t>
  </si>
  <si>
    <t>02/09/2023-29/09/2023</t>
  </si>
  <si>
    <t>Clerk salary (August 2023)</t>
  </si>
  <si>
    <t>Playground inspection, repair and maintenance</t>
  </si>
  <si>
    <t>Information Commissioners Office</t>
  </si>
  <si>
    <t>Playground inspection and maintenance (October 23), plus new swing seat</t>
  </si>
  <si>
    <t>Salary (November and backpay 23)</t>
  </si>
  <si>
    <t>30/09/2023-01/11/2023</t>
  </si>
  <si>
    <t>Clerk salary (September 2023)</t>
  </si>
  <si>
    <t>Royal British Legion (via clerk)</t>
  </si>
  <si>
    <t>Playground inspection and maintenance (November 23)</t>
  </si>
  <si>
    <t>Salary (December 23)</t>
  </si>
  <si>
    <t>Ground maintenance (1/7th fee invoice 4404 28th April)</t>
  </si>
  <si>
    <t>Ground maintenance (1/7th fee invoice 4436 31st May)</t>
  </si>
  <si>
    <t>Ground maintenance (1/7th fee invoice 4464 30th June)</t>
  </si>
  <si>
    <t>Ground maintenance (4/7th fee invoice 4598 30th November)</t>
  </si>
  <si>
    <t>£113.40 clerk mileage, 6 meetings, 6 agendas, 2 audit at 18 miles each</t>
  </si>
  <si>
    <t>New councillor training</t>
  </si>
  <si>
    <t>possible new pads</t>
  </si>
  <si>
    <t>Proposed Budget</t>
  </si>
  <si>
    <t>Assume this to be the last year this is received</t>
  </si>
  <si>
    <t>Based on a 5% increase on previous year</t>
  </si>
  <si>
    <t>£200 New bin for the playground
£500 new laptop</t>
  </si>
  <si>
    <t>Assume zero but may be more</t>
  </si>
  <si>
    <t>need to build reserves up to cover no concurrent expenses and increasing costs of maintaining play equipment</t>
  </si>
  <si>
    <t>02/11/2023-01/12/2023</t>
  </si>
  <si>
    <t>Clerk salary (October 2023)</t>
  </si>
  <si>
    <t>Clerk salary (November 2023)</t>
  </si>
  <si>
    <t>02/12/2023-29/12/2023</t>
  </si>
  <si>
    <t>Playground maintenance and inspection</t>
  </si>
  <si>
    <t>Playground inspection and maintenance (December 2023)</t>
  </si>
  <si>
    <t>Salary (January 2024) and 4 weeks holiday pay</t>
  </si>
  <si>
    <t>VAT claimed back</t>
  </si>
  <si>
    <t>Annual Playground inspection (March)</t>
  </si>
  <si>
    <t>Playground inspection and maintenance (June)</t>
  </si>
  <si>
    <t>Playground inspection and maintenance (July) and repairs</t>
  </si>
  <si>
    <t>Playground inspection, maintenance and repairs (August)</t>
  </si>
  <si>
    <t>Playground inspection, maintenance and repairs (October)</t>
  </si>
  <si>
    <t>Playground inspection and maintenance (September)</t>
  </si>
  <si>
    <t>Playground inspection and maintenance (November)</t>
  </si>
  <si>
    <t>Playground inspection and maintenance (December)</t>
  </si>
  <si>
    <t>Mileage</t>
  </si>
  <si>
    <t>Salary (February)</t>
  </si>
  <si>
    <t>Playground inspection and maintenance (January 2024)</t>
  </si>
  <si>
    <t>Playground inspection and maintenance (February 2024)</t>
  </si>
  <si>
    <t>Litterbin emptying</t>
  </si>
  <si>
    <t>VAT to claim back</t>
  </si>
  <si>
    <t>to claim</t>
  </si>
  <si>
    <t>2024-25</t>
  </si>
  <si>
    <t>30/12/2023-01/02/2024</t>
  </si>
  <si>
    <t>Clerk salary (December 2023)</t>
  </si>
  <si>
    <t>Clerk salary (January 2024)</t>
  </si>
  <si>
    <t>Grant towards football pitch maintenance</t>
  </si>
  <si>
    <t>Litter bin servicing</t>
  </si>
  <si>
    <t>02/02/2024-01/03/2024</t>
  </si>
  <si>
    <t>Concurrent expenses (2023 24)</t>
  </si>
  <si>
    <t>Agreed Budget</t>
  </si>
  <si>
    <t>This has been agreed by the charity as £518.00 for 24-25</t>
  </si>
  <si>
    <t>Cancelled contract</t>
  </si>
  <si>
    <t>02/03/2024-18/03/2024</t>
  </si>
  <si>
    <t>Bin servicing</t>
  </si>
  <si>
    <t>Clerk Salary (February 2024)</t>
  </si>
  <si>
    <t xml:space="preserve">Concurrent functions </t>
  </si>
  <si>
    <t>per elector</t>
  </si>
  <si>
    <t>electors advised by SDDC at time of precept details</t>
  </si>
  <si>
    <t>Total allowed for the year</t>
  </si>
  <si>
    <t>Section 137 (4)(a) for 2023 24</t>
  </si>
  <si>
    <t>S137 spent this financial year</t>
  </si>
  <si>
    <t>Play Area Inspections and Maintenance</t>
  </si>
  <si>
    <t>Home Bargains (via lengthsman)</t>
  </si>
  <si>
    <t>Timpsons (via Councillor Taft)</t>
  </si>
  <si>
    <t>A N Other</t>
  </si>
  <si>
    <t>Caroline Crowder 09/04/2024</t>
  </si>
  <si>
    <t>Councillor Taft 14/05/2024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</si>
</sst>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£&quot;#,##0.00;[Red]\-&quot;£&quot;#,##0.00"/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#,##0.00;\(#,##0.00\)"/>
    <numFmt numFmtId="167" formatCode="0.0%"/>
    <numFmt numFmtId="168" formatCode="&quot;£&quot;#,##0.00"/>
    <numFmt numFmtId="169" formatCode="dd/mm/yy;@"/>
    <numFmt numFmtId="170" formatCode="dd/mm/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Comic Sans MS"/>
      <family val="4"/>
    </font>
    <font>
      <sz val="10"/>
      <color rgb="FFFF0000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3" tint="-0.249977111117893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7" fillId="0" borderId="0"/>
  </cellStyleXfs>
  <cellXfs count="286">
    <xf numFmtId="0" fontId="0" fillId="0" borderId="0" xfId="0"/>
    <xf numFmtId="0" fontId="3" fillId="2" borderId="1" xfId="0" applyFont="1" applyFill="1" applyBorder="1" applyAlignment="1">
      <alignment wrapText="1"/>
    </xf>
    <xf numFmtId="0" fontId="4" fillId="3" borderId="1" xfId="0" applyFont="1" applyFill="1" applyBorder="1"/>
    <xf numFmtId="164" fontId="5" fillId="0" borderId="1" xfId="0" applyNumberFormat="1" applyFont="1" applyBorder="1"/>
    <xf numFmtId="0" fontId="4" fillId="0" borderId="0" xfId="0" applyFont="1"/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8" xfId="0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6" fontId="3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164" fontId="4" fillId="0" borderId="0" xfId="0" applyNumberFormat="1" applyFont="1"/>
    <xf numFmtId="0" fontId="7" fillId="0" borderId="0" xfId="4"/>
    <xf numFmtId="0" fontId="8" fillId="0" borderId="0" xfId="4" quotePrefix="1" applyFont="1" applyAlignment="1">
      <alignment horizontal="left"/>
    </xf>
    <xf numFmtId="0" fontId="9" fillId="0" borderId="0" xfId="4" applyFont="1" applyAlignment="1">
      <alignment horizontal="left" wrapText="1"/>
    </xf>
    <xf numFmtId="0" fontId="10" fillId="0" borderId="0" xfId="4" applyFont="1"/>
    <xf numFmtId="0" fontId="11" fillId="0" borderId="0" xfId="4" applyFont="1"/>
    <xf numFmtId="0" fontId="12" fillId="0" borderId="0" xfId="4" applyFont="1"/>
    <xf numFmtId="0" fontId="3" fillId="0" borderId="1" xfId="4" applyFont="1" applyBorder="1"/>
    <xf numFmtId="0" fontId="7" fillId="0" borderId="1" xfId="4" applyBorder="1"/>
    <xf numFmtId="164" fontId="7" fillId="0" borderId="1" xfId="2" applyNumberFormat="1" applyFont="1" applyBorder="1"/>
    <xf numFmtId="9" fontId="7" fillId="0" borderId="0" xfId="2" applyFont="1"/>
    <xf numFmtId="164" fontId="7" fillId="0" borderId="1" xfId="4" applyNumberFormat="1" applyBorder="1"/>
    <xf numFmtId="164" fontId="7" fillId="0" borderId="1" xfId="0" applyNumberFormat="1" applyFont="1" applyBorder="1"/>
    <xf numFmtId="0" fontId="13" fillId="0" borderId="0" xfId="0" applyFont="1"/>
    <xf numFmtId="0" fontId="3" fillId="0" borderId="0" xfId="4" applyFont="1"/>
    <xf numFmtId="165" fontId="7" fillId="0" borderId="0" xfId="4" applyNumberFormat="1"/>
    <xf numFmtId="0" fontId="14" fillId="0" borderId="0" xfId="4" applyFont="1"/>
    <xf numFmtId="164" fontId="7" fillId="0" borderId="1" xfId="1" applyNumberFormat="1" applyFont="1" applyBorder="1"/>
    <xf numFmtId="164" fontId="3" fillId="0" borderId="1" xfId="4" applyNumberFormat="1" applyFont="1" applyBorder="1"/>
    <xf numFmtId="0" fontId="7" fillId="0" borderId="14" xfId="4" applyBorder="1"/>
    <xf numFmtId="0" fontId="7" fillId="0" borderId="0" xfId="4" applyAlignment="1">
      <alignment horizontal="left"/>
    </xf>
    <xf numFmtId="0" fontId="7" fillId="0" borderId="14" xfId="4" applyBorder="1" applyAlignment="1">
      <alignment horizontal="left"/>
    </xf>
    <xf numFmtId="0" fontId="7" fillId="0" borderId="0" xfId="4" applyAlignment="1">
      <alignment horizontal="left" wrapText="1"/>
    </xf>
    <xf numFmtId="0" fontId="7" fillId="0" borderId="0" xfId="0" applyFont="1"/>
    <xf numFmtId="15" fontId="3" fillId="7" borderId="1" xfId="4" applyNumberFormat="1" applyFont="1" applyFill="1" applyBorder="1"/>
    <xf numFmtId="15" fontId="3" fillId="7" borderId="1" xfId="4" applyNumberFormat="1" applyFont="1" applyFill="1" applyBorder="1" applyAlignment="1">
      <alignment horizontal="left"/>
    </xf>
    <xf numFmtId="0" fontId="3" fillId="7" borderId="1" xfId="4" applyFont="1" applyFill="1" applyBorder="1" applyAlignment="1">
      <alignment horizontal="left"/>
    </xf>
    <xf numFmtId="0" fontId="3" fillId="7" borderId="5" xfId="4" applyFont="1" applyFill="1" applyBorder="1" applyAlignment="1">
      <alignment horizontal="left"/>
    </xf>
    <xf numFmtId="0" fontId="3" fillId="7" borderId="13" xfId="4" applyFont="1" applyFill="1" applyBorder="1" applyAlignment="1">
      <alignment horizontal="left"/>
    </xf>
    <xf numFmtId="0" fontId="3" fillId="7" borderId="15" xfId="4" applyFont="1" applyFill="1" applyBorder="1" applyAlignment="1">
      <alignment horizontal="left"/>
    </xf>
    <xf numFmtId="0" fontId="3" fillId="7" borderId="16" xfId="4" applyFont="1" applyFill="1" applyBorder="1" applyAlignment="1">
      <alignment horizontal="left"/>
    </xf>
    <xf numFmtId="0" fontId="3" fillId="7" borderId="17" xfId="4" applyFont="1" applyFill="1" applyBorder="1" applyAlignment="1">
      <alignment horizontal="left"/>
    </xf>
    <xf numFmtId="164" fontId="7" fillId="0" borderId="18" xfId="4" applyNumberFormat="1" applyBorder="1"/>
    <xf numFmtId="167" fontId="7" fillId="0" borderId="17" xfId="2" applyNumberFormat="1" applyFont="1" applyBorder="1"/>
    <xf numFmtId="164" fontId="3" fillId="0" borderId="19" xfId="4" applyNumberFormat="1" applyFont="1" applyBorder="1"/>
    <xf numFmtId="0" fontId="3" fillId="0" borderId="12" xfId="4" applyFont="1" applyBorder="1"/>
    <xf numFmtId="164" fontId="3" fillId="0" borderId="12" xfId="4" applyNumberFormat="1" applyFont="1" applyBorder="1"/>
    <xf numFmtId="167" fontId="7" fillId="0" borderId="20" xfId="2" applyNumberFormat="1" applyFont="1" applyBorder="1"/>
    <xf numFmtId="164" fontId="7" fillId="0" borderId="1" xfId="0" applyNumberFormat="1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7" fillId="2" borderId="1" xfId="0" applyFont="1" applyFill="1" applyBorder="1"/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vertical="top" wrapText="1"/>
    </xf>
    <xf numFmtId="0" fontId="19" fillId="3" borderId="1" xfId="0" applyFont="1" applyFill="1" applyBorder="1"/>
    <xf numFmtId="164" fontId="20" fillId="0" borderId="1" xfId="0" applyNumberFormat="1" applyFont="1" applyBorder="1"/>
    <xf numFmtId="164" fontId="19" fillId="0" borderId="1" xfId="0" applyNumberFormat="1" applyFont="1" applyBorder="1"/>
    <xf numFmtId="164" fontId="16" fillId="0" borderId="1" xfId="0" applyNumberFormat="1" applyFont="1" applyBorder="1"/>
    <xf numFmtId="16" fontId="19" fillId="0" borderId="0" xfId="0" applyNumberFormat="1" applyFont="1"/>
    <xf numFmtId="0" fontId="19" fillId="0" borderId="0" xfId="0" applyFont="1"/>
    <xf numFmtId="0" fontId="19" fillId="0" borderId="2" xfId="0" applyFont="1" applyBorder="1"/>
    <xf numFmtId="164" fontId="19" fillId="0" borderId="2" xfId="0" applyNumberFormat="1" applyFont="1" applyBorder="1"/>
    <xf numFmtId="164" fontId="16" fillId="0" borderId="2" xfId="0" applyNumberFormat="1" applyFont="1" applyBorder="1"/>
    <xf numFmtId="164" fontId="21" fillId="0" borderId="1" xfId="0" applyNumberFormat="1" applyFont="1" applyBorder="1"/>
    <xf numFmtId="0" fontId="16" fillId="3" borderId="0" xfId="0" applyFont="1" applyFill="1"/>
    <xf numFmtId="0" fontId="22" fillId="2" borderId="1" xfId="0" applyFont="1" applyFill="1" applyBorder="1" applyAlignment="1">
      <alignment horizontal="left" wrapText="1" indent="1"/>
    </xf>
    <xf numFmtId="0" fontId="22" fillId="2" borderId="1" xfId="0" applyFont="1" applyFill="1" applyBorder="1" applyAlignment="1">
      <alignment wrapText="1"/>
    </xf>
    <xf numFmtId="0" fontId="19" fillId="3" borderId="0" xfId="0" applyFont="1" applyFill="1"/>
    <xf numFmtId="164" fontId="16" fillId="0" borderId="0" xfId="0" applyNumberFormat="1" applyFont="1"/>
    <xf numFmtId="0" fontId="16" fillId="0" borderId="1" xfId="0" applyFont="1" applyBorder="1"/>
    <xf numFmtId="164" fontId="23" fillId="0" borderId="0" xfId="0" applyNumberFormat="1" applyFont="1"/>
    <xf numFmtId="164" fontId="23" fillId="0" borderId="0" xfId="0" quotePrefix="1" applyNumberFormat="1" applyFont="1"/>
    <xf numFmtId="0" fontId="4" fillId="0" borderId="1" xfId="0" applyFont="1" applyBorder="1"/>
    <xf numFmtId="0" fontId="2" fillId="0" borderId="0" xfId="0" applyFont="1"/>
    <xf numFmtId="0" fontId="6" fillId="0" borderId="1" xfId="0" applyFont="1" applyBorder="1"/>
    <xf numFmtId="168" fontId="0" fillId="0" borderId="2" xfId="0" applyNumberFormat="1" applyBorder="1"/>
    <xf numFmtId="168" fontId="0" fillId="0" borderId="0" xfId="0" applyNumberFormat="1"/>
    <xf numFmtId="168" fontId="3" fillId="2" borderId="1" xfId="0" applyNumberFormat="1" applyFont="1" applyFill="1" applyBorder="1" applyAlignment="1">
      <alignment vertical="center" wrapText="1"/>
    </xf>
    <xf numFmtId="168" fontId="4" fillId="3" borderId="1" xfId="0" applyNumberFormat="1" applyFont="1" applyFill="1" applyBorder="1"/>
    <xf numFmtId="168" fontId="6" fillId="0" borderId="14" xfId="0" applyNumberFormat="1" applyFont="1" applyBorder="1" applyAlignment="1">
      <alignment horizontal="right"/>
    </xf>
    <xf numFmtId="169" fontId="0" fillId="0" borderId="2" xfId="0" applyNumberFormat="1" applyBorder="1"/>
    <xf numFmtId="169" fontId="0" fillId="0" borderId="0" xfId="0" applyNumberFormat="1"/>
    <xf numFmtId="169" fontId="3" fillId="2" borderId="1" xfId="0" applyNumberFormat="1" applyFont="1" applyFill="1" applyBorder="1" applyAlignment="1">
      <alignment vertical="center" wrapText="1"/>
    </xf>
    <xf numFmtId="169" fontId="4" fillId="3" borderId="1" xfId="0" applyNumberFormat="1" applyFont="1" applyFill="1" applyBorder="1"/>
    <xf numFmtId="169" fontId="0" fillId="0" borderId="14" xfId="0" applyNumberFormat="1" applyBorder="1"/>
    <xf numFmtId="0" fontId="16" fillId="3" borderId="1" xfId="0" applyFont="1" applyFill="1" applyBorder="1"/>
    <xf numFmtId="164" fontId="16" fillId="3" borderId="1" xfId="0" applyNumberFormat="1" applyFont="1" applyFill="1" applyBorder="1"/>
    <xf numFmtId="0" fontId="7" fillId="0" borderId="22" xfId="4" applyBorder="1"/>
    <xf numFmtId="167" fontId="7" fillId="0" borderId="23" xfId="2" applyNumberFormat="1" applyFont="1" applyBorder="1"/>
    <xf numFmtId="164" fontId="7" fillId="0" borderId="0" xfId="4" applyNumberFormat="1"/>
    <xf numFmtId="0" fontId="5" fillId="0" borderId="1" xfId="0" applyFont="1" applyBorder="1"/>
    <xf numFmtId="168" fontId="5" fillId="0" borderId="1" xfId="0" applyNumberFormat="1" applyFont="1" applyBorder="1"/>
    <xf numFmtId="0" fontId="3" fillId="2" borderId="1" xfId="0" applyFont="1" applyFill="1" applyBorder="1" applyAlignment="1">
      <alignment vertical="top" wrapText="1"/>
    </xf>
    <xf numFmtId="0" fontId="25" fillId="0" borderId="0" xfId="0" applyFont="1"/>
    <xf numFmtId="2" fontId="25" fillId="0" borderId="1" xfId="0" applyNumberFormat="1" applyFont="1" applyBorder="1"/>
    <xf numFmtId="2" fontId="25" fillId="0" borderId="12" xfId="0" applyNumberFormat="1" applyFont="1" applyBorder="1"/>
    <xf numFmtId="164" fontId="7" fillId="0" borderId="1" xfId="2" applyNumberFormat="1" applyFont="1" applyFill="1" applyBorder="1"/>
    <xf numFmtId="164" fontId="19" fillId="0" borderId="5" xfId="0" quotePrefix="1" applyNumberFormat="1" applyFont="1" applyBorder="1"/>
    <xf numFmtId="0" fontId="16" fillId="0" borderId="7" xfId="0" applyFont="1" applyBorder="1"/>
    <xf numFmtId="168" fontId="5" fillId="0" borderId="0" xfId="0" applyNumberFormat="1" applyFont="1" applyAlignment="1">
      <alignment wrapText="1"/>
    </xf>
    <xf numFmtId="14" fontId="4" fillId="0" borderId="1" xfId="0" applyNumberFormat="1" applyFont="1" applyBorder="1"/>
    <xf numFmtId="164" fontId="5" fillId="0" borderId="0" xfId="0" applyNumberFormat="1" applyFont="1"/>
    <xf numFmtId="2" fontId="25" fillId="0" borderId="4" xfId="0" applyNumberFormat="1" applyFont="1" applyBorder="1"/>
    <xf numFmtId="2" fontId="25" fillId="0" borderId="25" xfId="0" applyNumberFormat="1" applyFont="1" applyBorder="1"/>
    <xf numFmtId="0" fontId="26" fillId="0" borderId="24" xfId="0" applyFont="1" applyBorder="1"/>
    <xf numFmtId="0" fontId="25" fillId="0" borderId="24" xfId="0" applyFont="1" applyBorder="1"/>
    <xf numFmtId="0" fontId="25" fillId="0" borderId="26" xfId="0" applyFont="1" applyBorder="1"/>
    <xf numFmtId="2" fontId="25" fillId="0" borderId="26" xfId="0" applyNumberFormat="1" applyFont="1" applyBorder="1"/>
    <xf numFmtId="2" fontId="25" fillId="0" borderId="27" xfId="0" applyNumberFormat="1" applyFont="1" applyBorder="1"/>
    <xf numFmtId="0" fontId="3" fillId="7" borderId="1" xfId="4" applyFont="1" applyFill="1" applyBorder="1" applyAlignment="1">
      <alignment horizontal="center"/>
    </xf>
    <xf numFmtId="0" fontId="7" fillId="0" borderId="1" xfId="4" applyBorder="1" applyAlignment="1">
      <alignment horizontal="center"/>
    </xf>
    <xf numFmtId="164" fontId="3" fillId="0" borderId="0" xfId="4" applyNumberFormat="1" applyFont="1"/>
    <xf numFmtId="164" fontId="25" fillId="0" borderId="0" xfId="0" applyNumberFormat="1" applyFont="1" applyAlignment="1">
      <alignment horizontal="left" vertical="top"/>
    </xf>
    <xf numFmtId="0" fontId="25" fillId="0" borderId="0" xfId="0" applyFont="1" applyAlignment="1">
      <alignment horizontal="left" vertical="top"/>
    </xf>
    <xf numFmtId="2" fontId="25" fillId="0" borderId="1" xfId="0" applyNumberFormat="1" applyFont="1" applyBorder="1" applyAlignment="1">
      <alignment wrapText="1"/>
    </xf>
    <xf numFmtId="2" fontId="25" fillId="0" borderId="6" xfId="0" applyNumberFormat="1" applyFont="1" applyBorder="1"/>
    <xf numFmtId="2" fontId="25" fillId="0" borderId="5" xfId="0" applyNumberFormat="1" applyFont="1" applyBorder="1"/>
    <xf numFmtId="4" fontId="25" fillId="0" borderId="28" xfId="0" applyNumberFormat="1" applyFont="1" applyBorder="1"/>
    <xf numFmtId="4" fontId="26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wrapText="1"/>
    </xf>
    <xf numFmtId="4" fontId="25" fillId="0" borderId="29" xfId="0" applyNumberFormat="1" applyFont="1" applyBorder="1"/>
    <xf numFmtId="2" fontId="25" fillId="10" borderId="0" xfId="0" applyNumberFormat="1" applyFont="1" applyFill="1"/>
    <xf numFmtId="0" fontId="0" fillId="10" borderId="0" xfId="0" applyFill="1" applyAlignment="1">
      <alignment horizontal="center"/>
    </xf>
    <xf numFmtId="0" fontId="0" fillId="0" borderId="0" xfId="0" applyAlignment="1">
      <alignment wrapText="1"/>
    </xf>
    <xf numFmtId="2" fontId="0" fillId="10" borderId="0" xfId="0" applyNumberFormat="1" applyFill="1"/>
    <xf numFmtId="2" fontId="0" fillId="0" borderId="1" xfId="0" applyNumberFormat="1" applyBorder="1"/>
    <xf numFmtId="2" fontId="0" fillId="0" borderId="0" xfId="0" applyNumberFormat="1"/>
    <xf numFmtId="0" fontId="0" fillId="0" borderId="24" xfId="0" applyBorder="1"/>
    <xf numFmtId="0" fontId="0" fillId="10" borderId="0" xfId="0" applyFill="1"/>
    <xf numFmtId="4" fontId="0" fillId="0" borderId="24" xfId="0" applyNumberFormat="1" applyBorder="1"/>
    <xf numFmtId="4" fontId="0" fillId="0" borderId="0" xfId="0" applyNumberFormat="1"/>
    <xf numFmtId="4" fontId="0" fillId="0" borderId="8" xfId="0" applyNumberFormat="1" applyBorder="1"/>
    <xf numFmtId="4" fontId="0" fillId="10" borderId="0" xfId="0" applyNumberFormat="1" applyFill="1"/>
    <xf numFmtId="0" fontId="28" fillId="0" borderId="26" xfId="0" applyFont="1" applyBorder="1" applyAlignment="1">
      <alignment wrapText="1"/>
    </xf>
    <xf numFmtId="0" fontId="28" fillId="0" borderId="6" xfId="0" applyFont="1" applyBorder="1" applyAlignment="1">
      <alignment wrapText="1"/>
    </xf>
    <xf numFmtId="0" fontId="28" fillId="0" borderId="1" xfId="0" applyFont="1" applyBorder="1" applyAlignment="1">
      <alignment wrapText="1"/>
    </xf>
    <xf numFmtId="0" fontId="28" fillId="0" borderId="4" xfId="0" applyFont="1" applyBorder="1" applyAlignment="1">
      <alignment wrapText="1"/>
    </xf>
    <xf numFmtId="0" fontId="28" fillId="0" borderId="26" xfId="0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0" fontId="28" fillId="0" borderId="24" xfId="0" applyFont="1" applyBorder="1" applyAlignment="1">
      <alignment wrapText="1"/>
    </xf>
    <xf numFmtId="0" fontId="29" fillId="0" borderId="0" xfId="0" applyFont="1" applyAlignment="1">
      <alignment wrapText="1"/>
    </xf>
    <xf numFmtId="2" fontId="28" fillId="9" borderId="8" xfId="0" applyNumberFormat="1" applyFont="1" applyFill="1" applyBorder="1" applyAlignment="1">
      <alignment wrapText="1"/>
    </xf>
    <xf numFmtId="2" fontId="28" fillId="4" borderId="0" xfId="0" applyNumberFormat="1" applyFont="1" applyFill="1" applyAlignment="1">
      <alignment wrapText="1"/>
    </xf>
    <xf numFmtId="0" fontId="25" fillId="0" borderId="26" xfId="0" applyFont="1" applyBorder="1" applyAlignment="1">
      <alignment wrapText="1"/>
    </xf>
    <xf numFmtId="2" fontId="25" fillId="0" borderId="4" xfId="0" applyNumberFormat="1" applyFont="1" applyBorder="1" applyAlignment="1">
      <alignment wrapText="1"/>
    </xf>
    <xf numFmtId="2" fontId="25" fillId="10" borderId="0" xfId="0" applyNumberFormat="1" applyFont="1" applyFill="1" applyAlignment="1">
      <alignment wrapText="1"/>
    </xf>
    <xf numFmtId="2" fontId="25" fillId="0" borderId="26" xfId="0" applyNumberFormat="1" applyFont="1" applyBorder="1" applyAlignment="1">
      <alignment wrapText="1"/>
    </xf>
    <xf numFmtId="15" fontId="3" fillId="7" borderId="1" xfId="4" applyNumberFormat="1" applyFont="1" applyFill="1" applyBorder="1" applyAlignment="1">
      <alignment wrapText="1"/>
    </xf>
    <xf numFmtId="0" fontId="2" fillId="0" borderId="9" xfId="0" applyFont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0" borderId="6" xfId="0" applyFont="1" applyBorder="1"/>
    <xf numFmtId="0" fontId="0" fillId="0" borderId="6" xfId="0" applyBorder="1"/>
    <xf numFmtId="0" fontId="6" fillId="3" borderId="11" xfId="0" applyFont="1" applyFill="1" applyBorder="1" applyAlignment="1">
      <alignment horizontal="left" vertical="top"/>
    </xf>
    <xf numFmtId="169" fontId="4" fillId="3" borderId="0" xfId="0" applyNumberFormat="1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8" fontId="4" fillId="3" borderId="0" xfId="0" applyNumberFormat="1" applyFont="1" applyFill="1"/>
    <xf numFmtId="14" fontId="3" fillId="7" borderId="1" xfId="4" applyNumberFormat="1" applyFont="1" applyFill="1" applyBorder="1"/>
    <xf numFmtId="2" fontId="27" fillId="4" borderId="0" xfId="0" applyNumberFormat="1" applyFont="1" applyFill="1"/>
    <xf numFmtId="164" fontId="7" fillId="0" borderId="22" xfId="0" applyNumberFormat="1" applyFont="1" applyBorder="1"/>
    <xf numFmtId="164" fontId="28" fillId="5" borderId="5" xfId="0" quotePrefix="1" applyNumberFormat="1" applyFont="1" applyFill="1" applyBorder="1"/>
    <xf numFmtId="0" fontId="4" fillId="0" borderId="1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top"/>
    </xf>
    <xf numFmtId="2" fontId="0" fillId="0" borderId="4" xfId="0" applyNumberFormat="1" applyBorder="1"/>
    <xf numFmtId="2" fontId="0" fillId="0" borderId="0" xfId="0" applyNumberFormat="1" applyAlignment="1">
      <alignment wrapText="1"/>
    </xf>
    <xf numFmtId="2" fontId="0" fillId="0" borderId="10" xfId="0" applyNumberFormat="1" applyBorder="1"/>
    <xf numFmtId="2" fontId="27" fillId="0" borderId="0" xfId="0" applyNumberFormat="1" applyFont="1"/>
    <xf numFmtId="2" fontId="0" fillId="4" borderId="0" xfId="0" applyNumberFormat="1" applyFill="1"/>
    <xf numFmtId="4" fontId="0" fillId="0" borderId="0" xfId="0" applyNumberFormat="1" applyAlignment="1">
      <alignment wrapText="1"/>
    </xf>
    <xf numFmtId="4" fontId="25" fillId="0" borderId="0" xfId="0" applyNumberFormat="1" applyFont="1"/>
    <xf numFmtId="2" fontId="25" fillId="0" borderId="0" xfId="0" applyNumberFormat="1" applyFont="1"/>
    <xf numFmtId="14" fontId="0" fillId="0" borderId="0" xfId="0" applyNumberFormat="1"/>
    <xf numFmtId="0" fontId="28" fillId="0" borderId="10" xfId="0" applyFont="1" applyBorder="1" applyAlignment="1">
      <alignment wrapText="1"/>
    </xf>
    <xf numFmtId="0" fontId="28" fillId="0" borderId="22" xfId="0" applyFont="1" applyBorder="1" applyAlignment="1">
      <alignment wrapText="1"/>
    </xf>
    <xf numFmtId="0" fontId="28" fillId="0" borderId="30" xfId="0" applyFont="1" applyBorder="1" applyAlignment="1">
      <alignment wrapText="1"/>
    </xf>
    <xf numFmtId="2" fontId="0" fillId="0" borderId="22" xfId="0" applyNumberFormat="1" applyBorder="1"/>
    <xf numFmtId="0" fontId="26" fillId="0" borderId="0" xfId="0" applyFont="1" applyAlignment="1">
      <alignment horizontal="left"/>
    </xf>
    <xf numFmtId="44" fontId="16" fillId="0" borderId="0" xfId="0" applyNumberFormat="1" applyFont="1"/>
    <xf numFmtId="0" fontId="26" fillId="0" borderId="0" xfId="0" quotePrefix="1" applyFont="1" applyAlignment="1">
      <alignment horizontal="center"/>
    </xf>
    <xf numFmtId="0" fontId="4" fillId="0" borderId="3" xfId="0" applyFont="1" applyBorder="1"/>
    <xf numFmtId="169" fontId="4" fillId="3" borderId="31" xfId="0" applyNumberFormat="1" applyFont="1" applyFill="1" applyBorder="1"/>
    <xf numFmtId="0" fontId="4" fillId="3" borderId="31" xfId="0" applyFont="1" applyFill="1" applyBorder="1" applyAlignment="1">
      <alignment horizontal="left"/>
    </xf>
    <xf numFmtId="0" fontId="4" fillId="3" borderId="31" xfId="0" applyFont="1" applyFill="1" applyBorder="1"/>
    <xf numFmtId="168" fontId="4" fillId="3" borderId="31" xfId="0" applyNumberFormat="1" applyFont="1" applyFill="1" applyBorder="1"/>
    <xf numFmtId="164" fontId="5" fillId="0" borderId="31" xfId="0" applyNumberFormat="1" applyFont="1" applyBorder="1"/>
    <xf numFmtId="169" fontId="4" fillId="3" borderId="12" xfId="0" applyNumberFormat="1" applyFont="1" applyFill="1" applyBorder="1"/>
    <xf numFmtId="0" fontId="4" fillId="3" borderId="12" xfId="0" applyFont="1" applyFill="1" applyBorder="1" applyAlignment="1">
      <alignment horizontal="left"/>
    </xf>
    <xf numFmtId="0" fontId="4" fillId="3" borderId="12" xfId="0" applyFont="1" applyFill="1" applyBorder="1"/>
    <xf numFmtId="168" fontId="4" fillId="3" borderId="12" xfId="0" applyNumberFormat="1" applyFont="1" applyFill="1" applyBorder="1"/>
    <xf numFmtId="164" fontId="5" fillId="0" borderId="12" xfId="0" applyNumberFormat="1" applyFont="1" applyBorder="1"/>
    <xf numFmtId="0" fontId="6" fillId="3" borderId="31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0" fillId="0" borderId="0" xfId="0" applyAlignment="1">
      <alignment horizontal="left" wrapText="1"/>
    </xf>
    <xf numFmtId="4" fontId="0" fillId="0" borderId="1" xfId="0" applyNumberFormat="1" applyBorder="1"/>
    <xf numFmtId="164" fontId="7" fillId="0" borderId="1" xfId="1" applyNumberFormat="1" applyFont="1" applyFill="1" applyBorder="1"/>
    <xf numFmtId="164" fontId="7" fillId="0" borderId="16" xfId="4" applyNumberFormat="1" applyBorder="1"/>
    <xf numFmtId="164" fontId="7" fillId="0" borderId="21" xfId="4" applyNumberFormat="1" applyBorder="1"/>
    <xf numFmtId="0" fontId="0" fillId="0" borderId="0" xfId="0" applyAlignment="1">
      <alignment horizontal="center"/>
    </xf>
    <xf numFmtId="2" fontId="27" fillId="9" borderId="0" xfId="0" applyNumberFormat="1" applyFont="1" applyFill="1"/>
    <xf numFmtId="170" fontId="4" fillId="3" borderId="31" xfId="0" applyNumberFormat="1" applyFont="1" applyFill="1" applyBorder="1"/>
    <xf numFmtId="0" fontId="5" fillId="0" borderId="31" xfId="0" applyFont="1" applyBorder="1"/>
    <xf numFmtId="168" fontId="5" fillId="0" borderId="31" xfId="0" applyNumberFormat="1" applyFont="1" applyBorder="1"/>
    <xf numFmtId="0" fontId="5" fillId="0" borderId="12" xfId="0" applyFont="1" applyBorder="1" applyAlignment="1">
      <alignment horizontal="left"/>
    </xf>
    <xf numFmtId="169" fontId="5" fillId="0" borderId="12" xfId="0" applyNumberFormat="1" applyFont="1" applyBorder="1"/>
    <xf numFmtId="0" fontId="5" fillId="0" borderId="12" xfId="0" applyFont="1" applyBorder="1"/>
    <xf numFmtId="168" fontId="5" fillId="0" borderId="12" xfId="0" applyNumberFormat="1" applyFont="1" applyBorder="1"/>
    <xf numFmtId="0" fontId="5" fillId="0" borderId="32" xfId="0" applyFont="1" applyBorder="1"/>
    <xf numFmtId="164" fontId="19" fillId="6" borderId="1" xfId="0" applyNumberFormat="1" applyFont="1" applyFill="1" applyBorder="1"/>
    <xf numFmtId="168" fontId="0" fillId="4" borderId="0" xfId="0" applyNumberFormat="1" applyFill="1"/>
    <xf numFmtId="0" fontId="0" fillId="4" borderId="0" xfId="0" applyFill="1"/>
    <xf numFmtId="164" fontId="20" fillId="4" borderId="1" xfId="0" applyNumberFormat="1" applyFont="1" applyFill="1" applyBorder="1"/>
    <xf numFmtId="164" fontId="19" fillId="4" borderId="1" xfId="0" applyNumberFormat="1" applyFont="1" applyFill="1" applyBorder="1"/>
    <xf numFmtId="14" fontId="4" fillId="0" borderId="12" xfId="0" applyNumberFormat="1" applyFont="1" applyBorder="1"/>
    <xf numFmtId="0" fontId="4" fillId="0" borderId="12" xfId="0" applyFont="1" applyBorder="1"/>
    <xf numFmtId="0" fontId="4" fillId="0" borderId="12" xfId="0" applyFont="1" applyBorder="1" applyAlignment="1">
      <alignment horizontal="left" wrapText="1"/>
    </xf>
    <xf numFmtId="168" fontId="4" fillId="3" borderId="34" xfId="0" applyNumberFormat="1" applyFont="1" applyFill="1" applyBorder="1"/>
    <xf numFmtId="164" fontId="5" fillId="0" borderId="34" xfId="0" applyNumberFormat="1" applyFont="1" applyBorder="1"/>
    <xf numFmtId="0" fontId="6" fillId="3" borderId="34" xfId="0" applyFont="1" applyFill="1" applyBorder="1" applyAlignment="1">
      <alignment horizontal="left" vertical="top"/>
    </xf>
    <xf numFmtId="169" fontId="4" fillId="3" borderId="34" xfId="0" applyNumberFormat="1" applyFont="1" applyFill="1" applyBorder="1"/>
    <xf numFmtId="0" fontId="4" fillId="3" borderId="34" xfId="0" applyFont="1" applyFill="1" applyBorder="1"/>
    <xf numFmtId="0" fontId="4" fillId="3" borderId="34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169" fontId="0" fillId="0" borderId="31" xfId="0" applyNumberFormat="1" applyBorder="1"/>
    <xf numFmtId="0" fontId="0" fillId="0" borderId="31" xfId="0" applyBorder="1"/>
    <xf numFmtId="0" fontId="4" fillId="0" borderId="3" xfId="0" applyFont="1" applyBorder="1" applyAlignment="1">
      <alignment horizontal="left" wrapText="1"/>
    </xf>
    <xf numFmtId="164" fontId="19" fillId="0" borderId="4" xfId="0" quotePrefix="1" applyNumberFormat="1" applyFont="1" applyBorder="1"/>
    <xf numFmtId="169" fontId="4" fillId="3" borderId="35" xfId="0" applyNumberFormat="1" applyFont="1" applyFill="1" applyBorder="1"/>
    <xf numFmtId="0" fontId="4" fillId="3" borderId="35" xfId="0" applyFont="1" applyFill="1" applyBorder="1" applyAlignment="1">
      <alignment horizontal="left"/>
    </xf>
    <xf numFmtId="0" fontId="4" fillId="3" borderId="35" xfId="0" applyFont="1" applyFill="1" applyBorder="1"/>
    <xf numFmtId="168" fontId="4" fillId="3" borderId="35" xfId="0" applyNumberFormat="1" applyFont="1" applyFill="1" applyBorder="1"/>
    <xf numFmtId="164" fontId="5" fillId="0" borderId="35" xfId="0" applyNumberFormat="1" applyFont="1" applyBorder="1"/>
    <xf numFmtId="0" fontId="25" fillId="0" borderId="11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33" xfId="0" applyFont="1" applyBorder="1" applyAlignment="1">
      <alignment horizontal="left"/>
    </xf>
    <xf numFmtId="0" fontId="25" fillId="0" borderId="3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vertical="top"/>
    </xf>
    <xf numFmtId="0" fontId="6" fillId="3" borderId="35" xfId="0" applyFont="1" applyFill="1" applyBorder="1" applyAlignment="1">
      <alignment horizontal="left" vertical="top"/>
    </xf>
    <xf numFmtId="0" fontId="25" fillId="0" borderId="7" xfId="0" applyFont="1" applyBorder="1" applyAlignment="1">
      <alignment horizontal="left"/>
    </xf>
    <xf numFmtId="2" fontId="0" fillId="0" borderId="6" xfId="0" applyNumberFormat="1" applyBorder="1"/>
    <xf numFmtId="2" fontId="25" fillId="0" borderId="6" xfId="0" applyNumberFormat="1" applyFont="1" applyBorder="1" applyAlignment="1">
      <alignment wrapText="1"/>
    </xf>
    <xf numFmtId="0" fontId="31" fillId="0" borderId="0" xfId="0" applyFont="1" applyAlignment="1">
      <alignment wrapText="1"/>
    </xf>
    <xf numFmtId="0" fontId="25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8" borderId="0" xfId="0" applyFill="1"/>
    <xf numFmtId="168" fontId="0" fillId="8" borderId="0" xfId="0" applyNumberFormat="1" applyFill="1"/>
    <xf numFmtId="164" fontId="19" fillId="11" borderId="1" xfId="0" applyNumberFormat="1" applyFont="1" applyFill="1" applyBorder="1"/>
    <xf numFmtId="164" fontId="28" fillId="5" borderId="1" xfId="0" quotePrefix="1" applyNumberFormat="1" applyFont="1" applyFill="1" applyBorder="1"/>
    <xf numFmtId="164" fontId="28" fillId="0" borderId="0" xfId="0" quotePrefix="1" applyNumberFormat="1" applyFont="1"/>
    <xf numFmtId="164" fontId="19" fillId="0" borderId="0" xfId="0" quotePrefix="1" applyNumberFormat="1" applyFont="1"/>
    <xf numFmtId="0" fontId="28" fillId="0" borderId="1" xfId="0" applyFont="1" applyBorder="1"/>
    <xf numFmtId="0" fontId="28" fillId="6" borderId="1" xfId="3" applyFont="1" applyFill="1" applyBorder="1"/>
    <xf numFmtId="0" fontId="0" fillId="4" borderId="1" xfId="0" applyFill="1" applyBorder="1"/>
    <xf numFmtId="164" fontId="28" fillId="12" borderId="1" xfId="0" quotePrefix="1" applyNumberFormat="1" applyFont="1" applyFill="1" applyBorder="1"/>
    <xf numFmtId="164" fontId="19" fillId="12" borderId="4" xfId="0" quotePrefix="1" applyNumberFormat="1" applyFont="1" applyFill="1" applyBorder="1"/>
    <xf numFmtId="164" fontId="19" fillId="8" borderId="1" xfId="0" applyNumberFormat="1" applyFont="1" applyFill="1" applyBorder="1"/>
    <xf numFmtId="0" fontId="0" fillId="0" borderId="1" xfId="0" applyBorder="1" applyAlignment="1">
      <alignment horizontal="left" wrapText="1"/>
    </xf>
    <xf numFmtId="164" fontId="19" fillId="12" borderId="1" xfId="0" applyNumberFormat="1" applyFont="1" applyFill="1" applyBorder="1"/>
    <xf numFmtId="0" fontId="26" fillId="0" borderId="0" xfId="0" applyFont="1"/>
    <xf numFmtId="8" fontId="0" fillId="0" borderId="0" xfId="0" applyNumberFormat="1"/>
    <xf numFmtId="8" fontId="0" fillId="0" borderId="28" xfId="0" applyNumberFormat="1" applyBorder="1"/>
    <xf numFmtId="2" fontId="25" fillId="0" borderId="0" xfId="0" applyNumberFormat="1" applyFont="1" applyAlignment="1">
      <alignment wrapText="1"/>
    </xf>
    <xf numFmtId="2" fontId="28" fillId="9" borderId="0" xfId="0" applyNumberFormat="1" applyFont="1" applyFill="1" applyAlignment="1">
      <alignment wrapText="1"/>
    </xf>
    <xf numFmtId="4" fontId="32" fillId="0" borderId="28" xfId="0" applyNumberFormat="1" applyFont="1" applyBorder="1"/>
    <xf numFmtId="4" fontId="31" fillId="0" borderId="28" xfId="0" applyNumberFormat="1" applyFont="1" applyBorder="1"/>
    <xf numFmtId="4" fontId="0" fillId="0" borderId="28" xfId="0" applyNumberFormat="1" applyBorder="1"/>
    <xf numFmtId="0" fontId="26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/>
  </cellXfs>
  <cellStyles count="5">
    <cellStyle name="Comma" xfId="1" builtinId="3"/>
    <cellStyle name="Normal" xfId="0" builtinId="0"/>
    <cellStyle name="Normal 2" xfId="3" xr:uid="{00000000-0005-0000-0000-000002000000}"/>
    <cellStyle name="Normal_2008 to 2009 Smisby PC final accounts including unpresented cheques" xfId="4" xr:uid="{00000000-0005-0000-0000-000003000000}"/>
    <cellStyle name="Percent" xfId="2" builtinId="5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6"/>
  <sheetViews>
    <sheetView tabSelected="1" zoomScale="70" zoomScaleNormal="70" workbookViewId="0">
      <selection activeCell="C75" sqref="C75"/>
    </sheetView>
  </sheetViews>
  <sheetFormatPr defaultColWidth="10" defaultRowHeight="15" x14ac:dyDescent="0.25"/>
  <cols>
    <col min="1" max="1" width="14.42578125" style="57" customWidth="1"/>
    <col min="2" max="2" width="37.85546875" style="57" bestFit="1" customWidth="1"/>
    <col min="3" max="3" width="35.5703125" style="57" customWidth="1"/>
    <col min="4" max="4" width="56.7109375" style="57" bestFit="1" customWidth="1"/>
    <col min="5" max="5" width="17" style="57" customWidth="1"/>
    <col min="6" max="6" width="26.140625" style="57" customWidth="1"/>
    <col min="7" max="7" width="13.7109375" style="57" hidden="1" customWidth="1"/>
    <col min="8" max="8" width="16.42578125" style="57" customWidth="1"/>
    <col min="9" max="9" width="16" style="57" customWidth="1"/>
    <col min="10" max="10" width="15" style="57" customWidth="1"/>
    <col min="11" max="11" width="16.42578125" style="57" customWidth="1"/>
    <col min="12" max="12" width="14.42578125" style="57" bestFit="1" customWidth="1"/>
    <col min="13" max="13" width="14.140625" style="57" hidden="1" customWidth="1"/>
    <col min="14" max="14" width="10.5703125" style="57" hidden="1" customWidth="1"/>
    <col min="15" max="15" width="12.85546875" style="57" customWidth="1"/>
    <col min="16" max="16" width="13.5703125" style="57" hidden="1" customWidth="1"/>
    <col min="17" max="17" width="11.28515625" style="57" customWidth="1"/>
    <col min="18" max="18" width="11.28515625" style="57" hidden="1" customWidth="1"/>
    <col min="19" max="22" width="12" style="57" hidden="1" customWidth="1"/>
    <col min="23" max="23" width="11.28515625" style="57" hidden="1" customWidth="1"/>
    <col min="24" max="24" width="13.140625" style="57" customWidth="1"/>
    <col min="25" max="16384" width="10" style="57"/>
  </cols>
  <sheetData>
    <row r="1" spans="1:13" ht="15.75" x14ac:dyDescent="0.25">
      <c r="A1" s="81" t="s">
        <v>53</v>
      </c>
      <c r="D1" s="81" t="s">
        <v>125</v>
      </c>
    </row>
    <row r="2" spans="1:13" ht="26.25" x14ac:dyDescent="0.25">
      <c r="A2" s="58" t="s">
        <v>0</v>
      </c>
      <c r="B2" s="1" t="s">
        <v>57</v>
      </c>
      <c r="C2" s="58" t="s">
        <v>1</v>
      </c>
      <c r="D2" s="59" t="s">
        <v>2</v>
      </c>
      <c r="E2" s="59" t="s">
        <v>3</v>
      </c>
      <c r="F2" s="59" t="s">
        <v>4</v>
      </c>
      <c r="G2" s="60" t="s">
        <v>5</v>
      </c>
      <c r="H2" s="60" t="s">
        <v>6</v>
      </c>
      <c r="I2" s="61" t="s">
        <v>7</v>
      </c>
      <c r="J2" s="100" t="s">
        <v>116</v>
      </c>
      <c r="K2" s="100" t="s">
        <v>76</v>
      </c>
      <c r="L2" s="1" t="s">
        <v>50</v>
      </c>
      <c r="M2"/>
    </row>
    <row r="3" spans="1:13" x14ac:dyDescent="0.25">
      <c r="A3" s="108">
        <v>45022</v>
      </c>
      <c r="B3" s="80" t="s">
        <v>144</v>
      </c>
      <c r="C3" s="2" t="s">
        <v>131</v>
      </c>
      <c r="D3" s="2" t="s">
        <v>4</v>
      </c>
      <c r="E3" s="223">
        <f t="shared" ref="E3:E12" si="0">F3+G3+H3+I3+J3+L3+K3</f>
        <v>3401</v>
      </c>
      <c r="F3" s="63">
        <f>3565-164</f>
        <v>3401</v>
      </c>
      <c r="G3" s="63"/>
      <c r="H3" s="63"/>
      <c r="I3" s="63"/>
      <c r="J3" s="63"/>
      <c r="K3" s="63"/>
      <c r="L3" s="63"/>
      <c r="M3" s="76"/>
    </row>
    <row r="4" spans="1:13" x14ac:dyDescent="0.25">
      <c r="A4" s="108">
        <v>45022</v>
      </c>
      <c r="B4" s="80" t="s">
        <v>144</v>
      </c>
      <c r="C4" s="2" t="s">
        <v>131</v>
      </c>
      <c r="D4" s="2" t="s">
        <v>148</v>
      </c>
      <c r="E4" s="223">
        <f t="shared" si="0"/>
        <v>164</v>
      </c>
      <c r="F4" s="63"/>
      <c r="G4" s="63">
        <v>164</v>
      </c>
      <c r="H4" s="63"/>
      <c r="I4" s="65"/>
      <c r="J4" s="65"/>
      <c r="K4" s="65"/>
      <c r="L4" s="65"/>
      <c r="M4" s="76"/>
    </row>
    <row r="5" spans="1:13" x14ac:dyDescent="0.25">
      <c r="A5" s="108">
        <v>45114</v>
      </c>
      <c r="B5" s="80" t="s">
        <v>144</v>
      </c>
      <c r="C5" s="80" t="s">
        <v>131</v>
      </c>
      <c r="D5" s="80" t="s">
        <v>4</v>
      </c>
      <c r="E5" s="223">
        <f t="shared" si="0"/>
        <v>3401</v>
      </c>
      <c r="F5" s="63">
        <v>3401</v>
      </c>
      <c r="G5" s="63"/>
      <c r="H5" s="63"/>
      <c r="I5" s="65"/>
      <c r="J5" s="65"/>
      <c r="K5" s="65"/>
      <c r="L5" s="65"/>
    </row>
    <row r="6" spans="1:13" x14ac:dyDescent="0.25">
      <c r="A6" s="108">
        <v>45142</v>
      </c>
      <c r="B6" s="80" t="s">
        <v>144</v>
      </c>
      <c r="C6" s="80" t="s">
        <v>132</v>
      </c>
      <c r="D6" s="80" t="s">
        <v>133</v>
      </c>
      <c r="E6" s="223">
        <f t="shared" si="0"/>
        <v>1156.02</v>
      </c>
      <c r="F6" s="63"/>
      <c r="G6" s="63"/>
      <c r="H6" s="63">
        <v>1156.02</v>
      </c>
      <c r="I6" s="65"/>
      <c r="J6" s="65"/>
      <c r="K6" s="65"/>
      <c r="L6" s="65"/>
    </row>
    <row r="7" spans="1:13" x14ac:dyDescent="0.25">
      <c r="A7" s="108">
        <v>45204</v>
      </c>
      <c r="B7" s="80" t="s">
        <v>144</v>
      </c>
      <c r="C7" s="2" t="s">
        <v>198</v>
      </c>
      <c r="D7" s="2" t="s">
        <v>217</v>
      </c>
      <c r="E7" s="223">
        <f t="shared" si="0"/>
        <v>4180</v>
      </c>
      <c r="F7" s="63"/>
      <c r="G7" s="63"/>
      <c r="H7" s="63"/>
      <c r="I7" s="65">
        <v>4180</v>
      </c>
      <c r="J7" s="65"/>
      <c r="K7" s="65"/>
      <c r="L7" s="65"/>
    </row>
    <row r="8" spans="1:13" x14ac:dyDescent="0.25">
      <c r="A8" s="108">
        <v>45308</v>
      </c>
      <c r="B8" s="80" t="s">
        <v>144</v>
      </c>
      <c r="C8" s="257" t="s">
        <v>132</v>
      </c>
      <c r="D8" s="257" t="s">
        <v>133</v>
      </c>
      <c r="E8" s="223">
        <f t="shared" si="0"/>
        <v>447.71</v>
      </c>
      <c r="F8" s="63"/>
      <c r="G8" s="63"/>
      <c r="H8" s="63">
        <v>447.71</v>
      </c>
      <c r="I8" s="65"/>
      <c r="J8" s="65"/>
      <c r="K8" s="65"/>
      <c r="L8" s="65"/>
    </row>
    <row r="9" spans="1:13" x14ac:dyDescent="0.25">
      <c r="A9" s="108">
        <v>45337</v>
      </c>
      <c r="B9" s="80" t="s">
        <v>144</v>
      </c>
      <c r="C9" s="257" t="s">
        <v>198</v>
      </c>
      <c r="D9" s="257" t="s">
        <v>269</v>
      </c>
      <c r="E9" s="223">
        <f t="shared" si="0"/>
        <v>644</v>
      </c>
      <c r="F9" s="63"/>
      <c r="G9" s="63"/>
      <c r="H9" s="63"/>
      <c r="I9" s="65">
        <v>644</v>
      </c>
      <c r="J9" s="65"/>
      <c r="K9" s="65"/>
      <c r="L9" s="65"/>
    </row>
    <row r="10" spans="1:13" x14ac:dyDescent="0.25">
      <c r="A10" s="108">
        <v>45359</v>
      </c>
      <c r="B10" s="80" t="s">
        <v>144</v>
      </c>
      <c r="C10" s="80" t="s">
        <v>131</v>
      </c>
      <c r="D10" s="80" t="s">
        <v>272</v>
      </c>
      <c r="E10" s="223">
        <f t="shared" si="0"/>
        <v>1842.15</v>
      </c>
      <c r="F10" s="63"/>
      <c r="G10" s="63"/>
      <c r="H10" s="63"/>
      <c r="I10" s="65"/>
      <c r="J10" s="65"/>
      <c r="K10" s="65"/>
      <c r="L10" s="65">
        <v>1842.15</v>
      </c>
      <c r="M10" s="190"/>
    </row>
    <row r="11" spans="1:13" x14ac:dyDescent="0.25">
      <c r="A11" s="108"/>
      <c r="B11" s="80"/>
      <c r="C11" s="80"/>
      <c r="D11" s="80"/>
      <c r="E11" s="63"/>
      <c r="F11" s="63"/>
      <c r="G11" s="63"/>
      <c r="H11" s="63"/>
      <c r="I11" s="65"/>
      <c r="J11" s="65"/>
      <c r="K11" s="65"/>
      <c r="L11" s="65"/>
      <c r="M11" s="190"/>
    </row>
    <row r="12" spans="1:13" x14ac:dyDescent="0.25">
      <c r="A12" s="108"/>
      <c r="B12" s="80"/>
      <c r="C12" s="80"/>
      <c r="D12" s="80"/>
      <c r="E12" s="63">
        <f t="shared" si="0"/>
        <v>0</v>
      </c>
      <c r="F12" s="64"/>
      <c r="G12" s="64"/>
      <c r="H12" s="64"/>
      <c r="I12" s="65"/>
      <c r="J12" s="65"/>
      <c r="K12" s="65"/>
      <c r="L12" s="65"/>
      <c r="M12" s="106"/>
    </row>
    <row r="13" spans="1:13" x14ac:dyDescent="0.25">
      <c r="A13" s="66"/>
      <c r="B13" s="67"/>
      <c r="C13" s="67"/>
      <c r="D13" s="68"/>
      <c r="E13" s="69"/>
      <c r="F13" s="69"/>
      <c r="G13" s="69"/>
      <c r="H13" s="69"/>
      <c r="I13" s="69"/>
      <c r="J13" s="70"/>
      <c r="K13" s="70"/>
      <c r="L13" s="70"/>
      <c r="M13" s="70"/>
    </row>
    <row r="14" spans="1:13" x14ac:dyDescent="0.25">
      <c r="A14" s="67"/>
      <c r="D14" s="82" t="s">
        <v>126</v>
      </c>
      <c r="E14" s="71">
        <f>SUM(E3:E12)</f>
        <v>15235.88</v>
      </c>
      <c r="F14" s="71">
        <f t="shared" ref="F14:L14" si="1">SUM(F3:F13)</f>
        <v>6802</v>
      </c>
      <c r="G14" s="71">
        <f t="shared" si="1"/>
        <v>164</v>
      </c>
      <c r="H14" s="71">
        <f t="shared" si="1"/>
        <v>1603.73</v>
      </c>
      <c r="I14" s="71">
        <f t="shared" si="1"/>
        <v>4824</v>
      </c>
      <c r="J14" s="71">
        <f t="shared" si="1"/>
        <v>0</v>
      </c>
      <c r="K14" s="71">
        <f t="shared" si="1"/>
        <v>0</v>
      </c>
      <c r="L14" s="71">
        <f t="shared" si="1"/>
        <v>1842.15</v>
      </c>
      <c r="M14" s="76">
        <f>F14+G14+H14+I14+J14+L14+K14</f>
        <v>15235.88</v>
      </c>
    </row>
    <row r="15" spans="1:13" x14ac:dyDescent="0.25">
      <c r="G15" s="72"/>
    </row>
    <row r="16" spans="1:13" ht="15.75" x14ac:dyDescent="0.25">
      <c r="A16" s="56" t="s">
        <v>8</v>
      </c>
      <c r="D16" s="81" t="s">
        <v>125</v>
      </c>
    </row>
    <row r="17" spans="1:23" ht="50.25" customHeight="1" x14ac:dyDescent="0.25">
      <c r="A17" s="60" t="s">
        <v>0</v>
      </c>
      <c r="B17" s="60" t="s">
        <v>56</v>
      </c>
      <c r="C17" s="60" t="s">
        <v>9</v>
      </c>
      <c r="D17" s="60" t="s">
        <v>10</v>
      </c>
      <c r="E17" s="60" t="s">
        <v>3</v>
      </c>
      <c r="F17" s="60" t="s">
        <v>41</v>
      </c>
      <c r="G17" s="73" t="s">
        <v>80</v>
      </c>
      <c r="H17" s="60" t="s">
        <v>48</v>
      </c>
      <c r="I17" s="60" t="s">
        <v>30</v>
      </c>
      <c r="J17" s="60" t="s">
        <v>78</v>
      </c>
      <c r="K17" s="60" t="s">
        <v>12</v>
      </c>
      <c r="L17" s="60" t="s">
        <v>170</v>
      </c>
      <c r="M17" s="74" t="s">
        <v>13</v>
      </c>
      <c r="N17" s="74" t="s">
        <v>14</v>
      </c>
      <c r="O17" s="60" t="s">
        <v>94</v>
      </c>
      <c r="P17" s="60" t="s">
        <v>64</v>
      </c>
      <c r="Q17" s="60" t="s">
        <v>52</v>
      </c>
      <c r="R17" s="60" t="s">
        <v>96</v>
      </c>
      <c r="S17" s="60" t="s">
        <v>93</v>
      </c>
      <c r="T17" s="60" t="s">
        <v>184</v>
      </c>
      <c r="U17" s="60" t="s">
        <v>111</v>
      </c>
      <c r="V17" s="60" t="s">
        <v>110</v>
      </c>
      <c r="W17" s="60" t="s">
        <v>51</v>
      </c>
    </row>
    <row r="18" spans="1:23" ht="15" customHeight="1" x14ac:dyDescent="0.25">
      <c r="A18" s="108">
        <v>45055</v>
      </c>
      <c r="B18" s="80" t="s">
        <v>144</v>
      </c>
      <c r="C18" s="80" t="s">
        <v>134</v>
      </c>
      <c r="D18" s="173" t="s">
        <v>135</v>
      </c>
      <c r="E18" s="224">
        <f t="shared" ref="E18:E43" si="2">F18+G18+H18+I18+J18+K18+L18+M18+N18+O18+P18+Q18+R18+S18+V18+W18+U18</f>
        <v>136.81</v>
      </c>
      <c r="F18" s="105"/>
      <c r="G18" s="64"/>
      <c r="H18" s="64"/>
      <c r="I18" s="64"/>
      <c r="J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77">
        <v>136.81</v>
      </c>
    </row>
    <row r="19" spans="1:23" ht="15" customHeight="1" x14ac:dyDescent="0.25">
      <c r="A19" s="108">
        <v>45029</v>
      </c>
      <c r="B19" s="80" t="s">
        <v>144</v>
      </c>
      <c r="C19" s="80" t="s">
        <v>132</v>
      </c>
      <c r="D19" s="173" t="s">
        <v>136</v>
      </c>
      <c r="E19" s="224">
        <f t="shared" si="2"/>
        <v>111.4</v>
      </c>
      <c r="F19" s="64"/>
      <c r="G19" s="64"/>
      <c r="H19" s="64"/>
      <c r="I19" s="64"/>
      <c r="J19" s="64">
        <v>111.4</v>
      </c>
      <c r="K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77"/>
    </row>
    <row r="20" spans="1:23" s="75" customFormat="1" ht="15" customHeight="1" x14ac:dyDescent="0.25">
      <c r="A20" s="108">
        <v>45055</v>
      </c>
      <c r="B20" s="80" t="s">
        <v>144</v>
      </c>
      <c r="C20" s="80" t="s">
        <v>153</v>
      </c>
      <c r="D20" s="173" t="s">
        <v>145</v>
      </c>
      <c r="E20" s="224">
        <f t="shared" si="2"/>
        <v>2</v>
      </c>
      <c r="F20" s="172">
        <v>0.33</v>
      </c>
      <c r="G20" s="64"/>
      <c r="H20" s="64"/>
      <c r="I20" s="64"/>
      <c r="J20" s="64"/>
      <c r="K20" s="64"/>
      <c r="L20" s="64"/>
      <c r="M20" s="64"/>
      <c r="N20" s="64"/>
      <c r="O20" s="64">
        <v>1.67</v>
      </c>
      <c r="P20" s="64"/>
      <c r="Q20" s="64"/>
      <c r="R20" s="64"/>
      <c r="S20" s="64"/>
      <c r="T20" s="64"/>
      <c r="U20" s="64"/>
      <c r="V20" s="64"/>
      <c r="W20" s="62"/>
    </row>
    <row r="21" spans="1:23" s="72" customFormat="1" x14ac:dyDescent="0.25">
      <c r="A21" s="108">
        <v>45029</v>
      </c>
      <c r="B21" s="80" t="s">
        <v>144</v>
      </c>
      <c r="C21" s="80" t="s">
        <v>138</v>
      </c>
      <c r="D21" s="80" t="s">
        <v>151</v>
      </c>
      <c r="E21" s="224">
        <f t="shared" si="2"/>
        <v>259.27999999999997</v>
      </c>
      <c r="F21" s="105"/>
      <c r="G21" s="64"/>
      <c r="H21" s="64"/>
      <c r="I21" s="64"/>
      <c r="J21" s="64">
        <v>259.27999999999997</v>
      </c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93"/>
    </row>
    <row r="22" spans="1:23" s="72" customFormat="1" ht="15" customHeight="1" x14ac:dyDescent="0.25">
      <c r="A22" s="108">
        <v>45055</v>
      </c>
      <c r="B22" s="80" t="s">
        <v>144</v>
      </c>
      <c r="C22" s="173" t="s">
        <v>15</v>
      </c>
      <c r="D22" s="173" t="s">
        <v>15</v>
      </c>
      <c r="E22" s="224">
        <f t="shared" si="2"/>
        <v>60</v>
      </c>
      <c r="F22" s="64"/>
      <c r="G22" s="64"/>
      <c r="H22" s="64"/>
      <c r="I22" s="64"/>
      <c r="J22" s="64"/>
      <c r="K22" s="64">
        <v>60</v>
      </c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93"/>
    </row>
    <row r="23" spans="1:23" s="72" customFormat="1" ht="15" customHeight="1" x14ac:dyDescent="0.25">
      <c r="A23" s="108">
        <v>45055</v>
      </c>
      <c r="B23" s="80" t="s">
        <v>144</v>
      </c>
      <c r="C23" s="80" t="s">
        <v>140</v>
      </c>
      <c r="D23" s="173" t="s">
        <v>13</v>
      </c>
      <c r="E23" s="224">
        <f t="shared" si="2"/>
        <v>432.58</v>
      </c>
      <c r="F23" s="64"/>
      <c r="G23" s="64"/>
      <c r="H23" s="64"/>
      <c r="I23" s="64"/>
      <c r="J23" s="64"/>
      <c r="K23" s="64"/>
      <c r="L23" s="64"/>
      <c r="M23" s="64">
        <v>432.58</v>
      </c>
      <c r="N23" s="64"/>
      <c r="O23" s="64"/>
      <c r="P23" s="64"/>
      <c r="Q23" s="64"/>
      <c r="R23" s="64"/>
      <c r="S23" s="64"/>
      <c r="T23" s="64"/>
      <c r="U23" s="64"/>
      <c r="V23" s="64"/>
      <c r="W23" s="93"/>
    </row>
    <row r="24" spans="1:23" x14ac:dyDescent="0.25">
      <c r="A24" s="108">
        <v>45055</v>
      </c>
      <c r="B24" s="80" t="s">
        <v>144</v>
      </c>
      <c r="C24" s="80" t="s">
        <v>138</v>
      </c>
      <c r="D24" s="173" t="s">
        <v>141</v>
      </c>
      <c r="E24" s="224">
        <f t="shared" si="2"/>
        <v>11.700000000000001</v>
      </c>
      <c r="F24" s="64"/>
      <c r="G24" s="64"/>
      <c r="H24" s="64">
        <f>26*0.45</f>
        <v>11.700000000000001</v>
      </c>
      <c r="I24" s="64"/>
      <c r="J24" s="77"/>
      <c r="K24" s="77"/>
      <c r="L24" s="64"/>
      <c r="M24" s="77"/>
      <c r="N24" s="77"/>
      <c r="O24" s="64"/>
      <c r="P24" s="64"/>
      <c r="Q24" s="64"/>
      <c r="R24" s="64"/>
      <c r="S24" s="64"/>
      <c r="T24" s="64"/>
      <c r="U24" s="64"/>
      <c r="V24" s="64"/>
      <c r="W24" s="77"/>
    </row>
    <row r="25" spans="1:23" x14ac:dyDescent="0.25">
      <c r="A25" s="108">
        <v>45055</v>
      </c>
      <c r="B25" s="80" t="s">
        <v>144</v>
      </c>
      <c r="C25" s="80" t="s">
        <v>142</v>
      </c>
      <c r="D25" s="173" t="s">
        <v>143</v>
      </c>
      <c r="E25" s="224">
        <f t="shared" si="2"/>
        <v>90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90</v>
      </c>
      <c r="S25" s="64"/>
      <c r="T25" s="64"/>
      <c r="U25" s="64"/>
      <c r="V25" s="64"/>
      <c r="W25" s="77"/>
    </row>
    <row r="26" spans="1:23" ht="15.75" customHeight="1" x14ac:dyDescent="0.25">
      <c r="A26" s="108">
        <v>45055</v>
      </c>
      <c r="B26" s="80" t="s">
        <v>144</v>
      </c>
      <c r="C26" s="80" t="s">
        <v>149</v>
      </c>
      <c r="D26" s="173" t="s">
        <v>150</v>
      </c>
      <c r="E26" s="224">
        <f t="shared" si="2"/>
        <v>0.75</v>
      </c>
      <c r="F26" s="105"/>
      <c r="G26" s="64"/>
      <c r="H26" s="64"/>
      <c r="I26" s="64"/>
      <c r="J26" s="64"/>
      <c r="K26" s="64"/>
      <c r="L26" s="64"/>
      <c r="M26" s="64"/>
      <c r="N26" s="64"/>
      <c r="O26" s="57">
        <v>0.75</v>
      </c>
      <c r="P26" s="64"/>
      <c r="Q26" s="64"/>
      <c r="R26" s="64"/>
      <c r="S26" s="64"/>
      <c r="T26" s="64"/>
      <c r="U26" s="64"/>
      <c r="V26" s="64"/>
      <c r="W26" s="77"/>
    </row>
    <row r="27" spans="1:23" x14ac:dyDescent="0.25">
      <c r="A27" s="108">
        <v>45055</v>
      </c>
      <c r="B27" s="80" t="s">
        <v>144</v>
      </c>
      <c r="C27" s="80" t="s">
        <v>138</v>
      </c>
      <c r="D27" s="80" t="s">
        <v>152</v>
      </c>
      <c r="E27" s="224">
        <f t="shared" si="2"/>
        <v>247.68</v>
      </c>
      <c r="F27" s="64"/>
      <c r="G27" s="64"/>
      <c r="H27" s="64"/>
      <c r="I27" s="64"/>
      <c r="J27" s="64">
        <v>247.68</v>
      </c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77"/>
    </row>
    <row r="28" spans="1:23" x14ac:dyDescent="0.25">
      <c r="A28" s="108">
        <v>45055</v>
      </c>
      <c r="B28" s="80" t="s">
        <v>144</v>
      </c>
      <c r="C28" s="80" t="s">
        <v>137</v>
      </c>
      <c r="D28" s="173" t="s">
        <v>154</v>
      </c>
      <c r="E28" s="224">
        <f t="shared" si="2"/>
        <v>3.2700000000000005</v>
      </c>
      <c r="F28" s="172">
        <v>0.55000000000000004</v>
      </c>
      <c r="G28" s="64"/>
      <c r="H28" s="64"/>
      <c r="I28" s="64"/>
      <c r="J28" s="64"/>
      <c r="K28" s="64"/>
      <c r="L28" s="64"/>
      <c r="M28" s="64"/>
      <c r="N28" s="64"/>
      <c r="O28" s="64">
        <v>2.72</v>
      </c>
      <c r="P28" s="64"/>
      <c r="Q28" s="64"/>
      <c r="R28" s="64"/>
      <c r="S28" s="64"/>
      <c r="T28" s="64"/>
      <c r="U28" s="64"/>
      <c r="V28" s="64"/>
      <c r="W28" s="77"/>
    </row>
    <row r="29" spans="1:23" x14ac:dyDescent="0.25">
      <c r="A29" s="108">
        <v>45078</v>
      </c>
      <c r="B29" s="80" t="s">
        <v>144</v>
      </c>
      <c r="C29" s="80" t="s">
        <v>138</v>
      </c>
      <c r="D29" s="80" t="s">
        <v>161</v>
      </c>
      <c r="E29" s="224">
        <f t="shared" si="2"/>
        <v>247.68</v>
      </c>
      <c r="F29" s="105"/>
      <c r="G29" s="64"/>
      <c r="H29" s="64"/>
      <c r="I29" s="64"/>
      <c r="J29" s="64">
        <v>247.68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77"/>
    </row>
    <row r="30" spans="1:23" x14ac:dyDescent="0.25">
      <c r="A30" s="108">
        <v>45078</v>
      </c>
      <c r="B30" s="80" t="s">
        <v>144</v>
      </c>
      <c r="C30" s="192" t="s">
        <v>162</v>
      </c>
      <c r="D30" s="80" t="s">
        <v>229</v>
      </c>
      <c r="E30" s="224">
        <f t="shared" si="2"/>
        <v>579.43000000000006</v>
      </c>
      <c r="F30" s="172">
        <v>96.57</v>
      </c>
      <c r="G30" s="64">
        <v>482.86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77"/>
    </row>
    <row r="31" spans="1:23" x14ac:dyDescent="0.25">
      <c r="A31" s="108">
        <v>45118</v>
      </c>
      <c r="B31" s="80" t="s">
        <v>144</v>
      </c>
      <c r="C31" s="80" t="s">
        <v>164</v>
      </c>
      <c r="D31" s="173" t="s">
        <v>165</v>
      </c>
      <c r="E31" s="224">
        <f t="shared" si="2"/>
        <v>320</v>
      </c>
      <c r="F31" s="64"/>
      <c r="G31" s="64">
        <v>320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77"/>
    </row>
    <row r="32" spans="1:23" x14ac:dyDescent="0.25">
      <c r="A32" s="108">
        <v>45118</v>
      </c>
      <c r="B32" s="80" t="s">
        <v>144</v>
      </c>
      <c r="C32" s="80" t="s">
        <v>138</v>
      </c>
      <c r="D32" s="173" t="s">
        <v>166</v>
      </c>
      <c r="E32" s="224">
        <f t="shared" si="2"/>
        <v>247.68</v>
      </c>
      <c r="F32" s="105"/>
      <c r="G32" s="64"/>
      <c r="H32" s="64"/>
      <c r="I32" s="64"/>
      <c r="J32" s="64">
        <v>247.68</v>
      </c>
      <c r="K32" s="64"/>
      <c r="L32" s="64"/>
      <c r="M32" s="64"/>
      <c r="N32" s="64"/>
      <c r="P32" s="64"/>
      <c r="Q32" s="64"/>
      <c r="R32" s="64"/>
      <c r="S32" s="64"/>
      <c r="T32" s="64"/>
      <c r="U32" s="64"/>
      <c r="V32" s="64"/>
      <c r="W32" s="77"/>
    </row>
    <row r="33" spans="1:23" x14ac:dyDescent="0.25">
      <c r="A33" s="108">
        <v>45118</v>
      </c>
      <c r="B33" s="80" t="s">
        <v>144</v>
      </c>
      <c r="C33" s="80" t="s">
        <v>132</v>
      </c>
      <c r="D33" s="80" t="s">
        <v>136</v>
      </c>
      <c r="E33" s="224">
        <f t="shared" si="2"/>
        <v>146.4</v>
      </c>
      <c r="F33" s="64"/>
      <c r="G33" s="64"/>
      <c r="H33" s="64"/>
      <c r="I33" s="64"/>
      <c r="J33" s="64">
        <v>146.4</v>
      </c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77"/>
    </row>
    <row r="34" spans="1:23" x14ac:dyDescent="0.25">
      <c r="A34" s="108">
        <v>45118</v>
      </c>
      <c r="B34" s="80" t="s">
        <v>144</v>
      </c>
      <c r="C34" s="80" t="s">
        <v>137</v>
      </c>
      <c r="D34" s="173" t="s">
        <v>167</v>
      </c>
      <c r="E34" s="224">
        <f t="shared" si="2"/>
        <v>17.990000000000002</v>
      </c>
      <c r="F34" s="172">
        <v>3</v>
      </c>
      <c r="G34" s="64"/>
      <c r="H34" s="64"/>
      <c r="I34" s="64"/>
      <c r="J34" s="64"/>
      <c r="K34" s="64"/>
      <c r="L34" s="64"/>
      <c r="M34" s="64"/>
      <c r="N34" s="64"/>
      <c r="O34" s="64">
        <v>14.99</v>
      </c>
      <c r="P34" s="64"/>
      <c r="Q34" s="64"/>
      <c r="R34" s="64"/>
      <c r="S34" s="64"/>
      <c r="T34" s="64"/>
      <c r="U34" s="64"/>
      <c r="V34" s="64"/>
      <c r="W34" s="77"/>
    </row>
    <row r="35" spans="1:23" x14ac:dyDescent="0.25">
      <c r="A35" s="108">
        <v>45118</v>
      </c>
      <c r="B35" s="80" t="s">
        <v>144</v>
      </c>
      <c r="C35" s="80" t="s">
        <v>131</v>
      </c>
      <c r="D35" s="173" t="s">
        <v>169</v>
      </c>
      <c r="E35" s="224">
        <f t="shared" si="2"/>
        <v>90</v>
      </c>
      <c r="F35" s="172">
        <v>15</v>
      </c>
      <c r="G35" s="64"/>
      <c r="H35" s="64"/>
      <c r="I35" s="64"/>
      <c r="J35" s="64"/>
      <c r="K35" s="64"/>
      <c r="L35" s="64">
        <v>75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77"/>
    </row>
    <row r="36" spans="1:23" x14ac:dyDescent="0.25">
      <c r="A36" s="108">
        <v>45118</v>
      </c>
      <c r="B36" s="80" t="s">
        <v>144</v>
      </c>
      <c r="C36" s="80" t="s">
        <v>162</v>
      </c>
      <c r="D36" s="173" t="s">
        <v>230</v>
      </c>
      <c r="E36" s="224">
        <f t="shared" si="2"/>
        <v>579.43000000000006</v>
      </c>
      <c r="F36" s="172">
        <v>96.57</v>
      </c>
      <c r="G36" s="64">
        <v>482.86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77"/>
    </row>
    <row r="37" spans="1:23" x14ac:dyDescent="0.25">
      <c r="A37" s="108">
        <v>45118</v>
      </c>
      <c r="B37" s="80" t="s">
        <v>144</v>
      </c>
      <c r="C37" s="80" t="s">
        <v>138</v>
      </c>
      <c r="D37" s="173" t="s">
        <v>141</v>
      </c>
      <c r="E37" s="224">
        <f t="shared" si="2"/>
        <v>11.7</v>
      </c>
      <c r="F37" s="64"/>
      <c r="G37" s="64"/>
      <c r="H37" s="64">
        <v>11.7</v>
      </c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77"/>
    </row>
    <row r="38" spans="1:23" x14ac:dyDescent="0.25">
      <c r="A38" s="108">
        <v>45118</v>
      </c>
      <c r="B38" s="80" t="s">
        <v>144</v>
      </c>
      <c r="C38" s="80" t="s">
        <v>171</v>
      </c>
      <c r="D38" s="80" t="s">
        <v>48</v>
      </c>
      <c r="E38" s="224">
        <f t="shared" si="2"/>
        <v>68.25</v>
      </c>
      <c r="F38" s="105"/>
      <c r="G38" s="64"/>
      <c r="H38" s="64">
        <v>68.25</v>
      </c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77"/>
    </row>
    <row r="39" spans="1:23" x14ac:dyDescent="0.25">
      <c r="A39" s="108">
        <v>45118</v>
      </c>
      <c r="B39" s="80" t="s">
        <v>144</v>
      </c>
      <c r="C39" s="80" t="s">
        <v>162</v>
      </c>
      <c r="D39" s="173" t="s">
        <v>231</v>
      </c>
      <c r="E39" s="224">
        <f t="shared" ref="E39:E40" si="3">F39+G39+H39+I39+J39+K39+L39+M39+N39+O39+P39+Q39+R39+S39+V39+W39+U39</f>
        <v>579.43000000000006</v>
      </c>
      <c r="F39" s="172">
        <v>96.57</v>
      </c>
      <c r="G39" s="64">
        <v>482.86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77"/>
    </row>
    <row r="40" spans="1:23" ht="15" customHeight="1" x14ac:dyDescent="0.25">
      <c r="A40" s="108">
        <v>45118</v>
      </c>
      <c r="B40" s="80" t="s">
        <v>144</v>
      </c>
      <c r="C40" s="173" t="s">
        <v>15</v>
      </c>
      <c r="D40" s="173" t="s">
        <v>15</v>
      </c>
      <c r="E40" s="224">
        <f t="shared" si="3"/>
        <v>60</v>
      </c>
      <c r="F40" s="64"/>
      <c r="G40" s="64"/>
      <c r="H40" s="64"/>
      <c r="I40" s="64"/>
      <c r="J40" s="64"/>
      <c r="K40" s="64">
        <v>60</v>
      </c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77"/>
    </row>
    <row r="41" spans="1:23" x14ac:dyDescent="0.25">
      <c r="A41" s="108">
        <v>45118</v>
      </c>
      <c r="B41" s="80" t="s">
        <v>144</v>
      </c>
      <c r="C41" s="80" t="s">
        <v>286</v>
      </c>
      <c r="D41" s="173" t="s">
        <v>172</v>
      </c>
      <c r="E41" s="224">
        <f t="shared" si="2"/>
        <v>2.99</v>
      </c>
      <c r="F41" s="172">
        <v>0.5</v>
      </c>
      <c r="G41" s="64"/>
      <c r="H41" s="64"/>
      <c r="I41" s="64"/>
      <c r="J41" s="64"/>
      <c r="K41" s="64">
        <v>2.4900000000000002</v>
      </c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77"/>
    </row>
    <row r="42" spans="1:23" x14ac:dyDescent="0.25">
      <c r="A42" s="108">
        <v>45118</v>
      </c>
      <c r="B42" s="80" t="s">
        <v>144</v>
      </c>
      <c r="C42" s="80" t="s">
        <v>287</v>
      </c>
      <c r="D42" s="173" t="s">
        <v>174</v>
      </c>
      <c r="E42" s="224">
        <f t="shared" si="2"/>
        <v>27</v>
      </c>
      <c r="F42" s="64"/>
      <c r="G42" s="64"/>
      <c r="H42" s="64"/>
      <c r="I42" s="64"/>
      <c r="J42" s="64"/>
      <c r="K42" s="64"/>
      <c r="L42" s="64"/>
      <c r="M42" s="64"/>
      <c r="N42" s="64"/>
      <c r="O42" s="64">
        <v>27</v>
      </c>
      <c r="P42" s="64"/>
      <c r="Q42" s="64"/>
      <c r="R42" s="64"/>
      <c r="S42" s="64"/>
      <c r="T42" s="64"/>
      <c r="U42" s="64"/>
      <c r="V42" s="64"/>
      <c r="W42" s="77"/>
    </row>
    <row r="43" spans="1:23" x14ac:dyDescent="0.25">
      <c r="A43" s="108">
        <v>45139</v>
      </c>
      <c r="B43" s="80" t="s">
        <v>144</v>
      </c>
      <c r="C43" s="80" t="s">
        <v>138</v>
      </c>
      <c r="D43" s="173" t="s">
        <v>176</v>
      </c>
      <c r="E43" s="224">
        <f t="shared" si="2"/>
        <v>247.68</v>
      </c>
      <c r="F43" s="64"/>
      <c r="G43" s="64"/>
      <c r="H43" s="64"/>
      <c r="I43" s="64"/>
      <c r="J43" s="64">
        <v>247.68</v>
      </c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77"/>
    </row>
    <row r="44" spans="1:23" x14ac:dyDescent="0.25">
      <c r="A44" s="108">
        <v>45139</v>
      </c>
      <c r="B44" s="80" t="s">
        <v>144</v>
      </c>
      <c r="C44" s="80" t="s">
        <v>131</v>
      </c>
      <c r="D44" s="173" t="s">
        <v>177</v>
      </c>
      <c r="E44" s="224">
        <f>F44+G44+H44+I44+J44+K44+L44+M44+N44+O44+P44+Q44+R44+S44+V44+W44+U44</f>
        <v>65.58</v>
      </c>
      <c r="F44" s="172">
        <v>10.93</v>
      </c>
      <c r="G44" s="64"/>
      <c r="H44" s="64"/>
      <c r="I44" s="64"/>
      <c r="J44" s="64"/>
      <c r="K44" s="64"/>
      <c r="L44" s="64">
        <v>54.65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77"/>
    </row>
    <row r="45" spans="1:23" x14ac:dyDescent="0.25">
      <c r="A45" s="108">
        <v>45139</v>
      </c>
      <c r="B45" s="80" t="s">
        <v>144</v>
      </c>
      <c r="C45" s="80" t="s">
        <v>288</v>
      </c>
      <c r="D45" s="173" t="s">
        <v>180</v>
      </c>
      <c r="E45" s="224">
        <f t="shared" ref="E45:E75" si="4">F45+G45+H45+I45+J45+K45+L45+M45+N45+O45+P45+Q45+R45+S45+V45+W45</f>
        <v>15</v>
      </c>
      <c r="F45" s="64"/>
      <c r="G45" s="64"/>
      <c r="H45" s="64"/>
      <c r="I45" s="64"/>
      <c r="J45" s="64"/>
      <c r="K45" s="64"/>
      <c r="L45" s="64"/>
      <c r="M45" s="64"/>
      <c r="N45" s="64"/>
      <c r="O45" s="64">
        <v>15</v>
      </c>
      <c r="P45" s="64"/>
      <c r="Q45" s="64"/>
      <c r="R45" s="64"/>
      <c r="S45" s="64"/>
      <c r="T45" s="64"/>
      <c r="U45" s="64"/>
      <c r="V45" s="64"/>
      <c r="W45" s="77"/>
    </row>
    <row r="46" spans="1:23" x14ac:dyDescent="0.25">
      <c r="A46" s="108">
        <v>45139</v>
      </c>
      <c r="B46" s="80" t="s">
        <v>144</v>
      </c>
      <c r="C46" s="80" t="s">
        <v>134</v>
      </c>
      <c r="D46" s="173" t="s">
        <v>181</v>
      </c>
      <c r="E46" s="224">
        <f>F46+G46+H46+I46+J46+K46+L46+M46+N46+O46+P46+Q46+R46+S46+V46+W46+T46+U46</f>
        <v>50</v>
      </c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77">
        <v>50</v>
      </c>
    </row>
    <row r="47" spans="1:23" x14ac:dyDescent="0.25">
      <c r="A47" s="108">
        <v>45139</v>
      </c>
      <c r="B47" s="80" t="s">
        <v>144</v>
      </c>
      <c r="C47" s="80" t="s">
        <v>182</v>
      </c>
      <c r="D47" s="173" t="s">
        <v>183</v>
      </c>
      <c r="E47" s="224">
        <f>F47+G47+H47+I47+J47+K47+L47+M47+N47+O47+P47+Q47+R47+S47+V47+W47+T47+U47</f>
        <v>5016</v>
      </c>
      <c r="F47" s="172">
        <v>836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>
        <v>4180</v>
      </c>
      <c r="U47" s="64"/>
      <c r="V47" s="64"/>
      <c r="W47" s="77"/>
    </row>
    <row r="48" spans="1:23" x14ac:dyDescent="0.25">
      <c r="A48" s="108">
        <v>45181</v>
      </c>
      <c r="B48" s="80" t="s">
        <v>144</v>
      </c>
      <c r="C48" s="80" t="s">
        <v>138</v>
      </c>
      <c r="D48" s="173" t="s">
        <v>187</v>
      </c>
      <c r="E48" s="224">
        <f t="shared" si="4"/>
        <v>247.68</v>
      </c>
      <c r="F48" s="64"/>
      <c r="G48" s="64"/>
      <c r="H48" s="64"/>
      <c r="I48" s="64"/>
      <c r="J48" s="64">
        <v>247.68</v>
      </c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77"/>
    </row>
    <row r="49" spans="1:23" x14ac:dyDescent="0.25">
      <c r="A49" s="108">
        <v>45181</v>
      </c>
      <c r="B49" s="80" t="s">
        <v>144</v>
      </c>
      <c r="C49" s="80" t="s">
        <v>15</v>
      </c>
      <c r="D49" s="173" t="s">
        <v>15</v>
      </c>
      <c r="E49" s="224">
        <f t="shared" si="4"/>
        <v>60</v>
      </c>
      <c r="F49" s="64"/>
      <c r="G49" s="64"/>
      <c r="H49" s="64"/>
      <c r="I49" s="64"/>
      <c r="J49" s="64"/>
      <c r="K49" s="64">
        <v>60</v>
      </c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77"/>
    </row>
    <row r="50" spans="1:23" ht="29.25" x14ac:dyDescent="0.25">
      <c r="A50" s="108">
        <v>45181</v>
      </c>
      <c r="B50" s="80" t="s">
        <v>144</v>
      </c>
      <c r="C50" s="80" t="s">
        <v>131</v>
      </c>
      <c r="D50" s="173" t="s">
        <v>213</v>
      </c>
      <c r="E50" s="224">
        <f t="shared" si="4"/>
        <v>395.58</v>
      </c>
      <c r="F50" s="172">
        <v>65.930000000000007</v>
      </c>
      <c r="G50" s="64"/>
      <c r="H50" s="64"/>
      <c r="I50" s="64"/>
      <c r="J50" s="64"/>
      <c r="K50" s="64"/>
      <c r="L50" s="64">
        <v>329.65</v>
      </c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77"/>
    </row>
    <row r="51" spans="1:23" x14ac:dyDescent="0.25">
      <c r="A51" s="108">
        <v>45181</v>
      </c>
      <c r="B51" s="80" t="s">
        <v>205</v>
      </c>
      <c r="C51" s="80" t="s">
        <v>206</v>
      </c>
      <c r="D51" s="173" t="s">
        <v>207</v>
      </c>
      <c r="E51" s="224">
        <f t="shared" si="4"/>
        <v>35</v>
      </c>
      <c r="F51" s="64"/>
      <c r="G51" s="64"/>
      <c r="H51" s="64"/>
      <c r="I51" s="64"/>
      <c r="J51" s="64"/>
      <c r="K51" s="64"/>
      <c r="L51" s="64"/>
      <c r="M51" s="64"/>
      <c r="N51" s="64"/>
      <c r="O51" s="64">
        <v>35</v>
      </c>
      <c r="P51" s="64"/>
      <c r="Q51" s="64"/>
      <c r="R51" s="64"/>
      <c r="S51" s="64"/>
      <c r="T51" s="64"/>
      <c r="U51" s="64"/>
      <c r="V51" s="64"/>
      <c r="W51" s="77"/>
    </row>
    <row r="52" spans="1:23" x14ac:dyDescent="0.25">
      <c r="A52" s="108">
        <v>45200</v>
      </c>
      <c r="B52" s="80" t="s">
        <v>144</v>
      </c>
      <c r="C52" s="80" t="s">
        <v>138</v>
      </c>
      <c r="D52" s="173" t="s">
        <v>209</v>
      </c>
      <c r="E52" s="224">
        <f t="shared" si="4"/>
        <v>265.68</v>
      </c>
      <c r="F52" s="105"/>
      <c r="G52" s="64"/>
      <c r="H52" s="64"/>
      <c r="I52" s="64"/>
      <c r="J52" s="64">
        <v>265.68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77"/>
    </row>
    <row r="53" spans="1:23" x14ac:dyDescent="0.25">
      <c r="A53" s="108">
        <v>45200</v>
      </c>
      <c r="B53" s="80" t="s">
        <v>144</v>
      </c>
      <c r="C53" s="80" t="s">
        <v>131</v>
      </c>
      <c r="D53" s="173" t="s">
        <v>210</v>
      </c>
      <c r="E53" s="224">
        <f t="shared" si="4"/>
        <v>65.58</v>
      </c>
      <c r="F53" s="172">
        <v>10.93</v>
      </c>
      <c r="G53" s="64"/>
      <c r="H53" s="64"/>
      <c r="I53" s="64"/>
      <c r="J53" s="64"/>
      <c r="K53" s="64"/>
      <c r="L53" s="64">
        <v>54.65</v>
      </c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77"/>
    </row>
    <row r="54" spans="1:23" x14ac:dyDescent="0.25">
      <c r="A54" s="108">
        <v>45200</v>
      </c>
      <c r="B54" s="80" t="s">
        <v>144</v>
      </c>
      <c r="C54" s="192" t="s">
        <v>132</v>
      </c>
      <c r="D54" s="237" t="s">
        <v>136</v>
      </c>
      <c r="E54" s="224">
        <f t="shared" si="4"/>
        <v>128.4</v>
      </c>
      <c r="F54" s="64"/>
      <c r="G54" s="64"/>
      <c r="H54" s="64"/>
      <c r="I54" s="64"/>
      <c r="J54" s="64">
        <v>128.4</v>
      </c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77"/>
    </row>
    <row r="55" spans="1:23" x14ac:dyDescent="0.25">
      <c r="A55" s="108">
        <v>45200</v>
      </c>
      <c r="B55" s="80" t="s">
        <v>144</v>
      </c>
      <c r="C55" s="80" t="s">
        <v>216</v>
      </c>
      <c r="D55" s="173" t="s">
        <v>211</v>
      </c>
      <c r="E55" s="224">
        <f t="shared" si="4"/>
        <v>21.990000000000002</v>
      </c>
      <c r="F55" s="172">
        <v>3.67</v>
      </c>
      <c r="G55" s="64"/>
      <c r="H55" s="64"/>
      <c r="I55" s="64"/>
      <c r="J55" s="64"/>
      <c r="K55" s="64"/>
      <c r="L55" s="64"/>
      <c r="M55" s="64"/>
      <c r="N55" s="64">
        <f>18+3.99-3.67</f>
        <v>18.32</v>
      </c>
      <c r="O55" s="77"/>
      <c r="P55" s="64"/>
      <c r="Q55" s="64"/>
      <c r="R55" s="64"/>
      <c r="S55" s="64"/>
      <c r="T55" s="64"/>
      <c r="U55" s="64"/>
      <c r="V55" s="64"/>
      <c r="W55" s="77"/>
    </row>
    <row r="56" spans="1:23" x14ac:dyDescent="0.25">
      <c r="A56" s="108">
        <v>45245</v>
      </c>
      <c r="B56" s="80" t="s">
        <v>144</v>
      </c>
      <c r="C56" s="80" t="s">
        <v>15</v>
      </c>
      <c r="D56" s="173" t="s">
        <v>15</v>
      </c>
      <c r="E56" s="224">
        <f t="shared" si="4"/>
        <v>60</v>
      </c>
      <c r="F56" s="238"/>
      <c r="G56" s="64"/>
      <c r="H56" s="64"/>
      <c r="I56" s="64"/>
      <c r="J56" s="64"/>
      <c r="K56" s="64">
        <v>60</v>
      </c>
      <c r="L56" s="64"/>
      <c r="M56" s="64"/>
      <c r="N56" s="64"/>
      <c r="O56" s="77"/>
      <c r="P56" s="64"/>
      <c r="Q56" s="64"/>
      <c r="R56" s="64"/>
      <c r="S56" s="64"/>
      <c r="T56" s="64"/>
      <c r="U56" s="64"/>
      <c r="V56" s="64"/>
      <c r="W56" s="77"/>
    </row>
    <row r="57" spans="1:23" x14ac:dyDescent="0.25">
      <c r="A57" s="108">
        <v>45245</v>
      </c>
      <c r="B57" s="80" t="s">
        <v>144</v>
      </c>
      <c r="C57" s="80" t="s">
        <v>138</v>
      </c>
      <c r="D57" s="173" t="s">
        <v>214</v>
      </c>
      <c r="E57" s="224">
        <f t="shared" si="4"/>
        <v>250.68</v>
      </c>
      <c r="F57" s="238"/>
      <c r="G57" s="64"/>
      <c r="H57" s="64"/>
      <c r="I57" s="64"/>
      <c r="J57" s="64">
        <v>250.68</v>
      </c>
      <c r="K57" s="64"/>
      <c r="L57" s="64"/>
      <c r="M57" s="64"/>
      <c r="N57" s="64"/>
      <c r="O57" s="77"/>
      <c r="P57" s="64"/>
      <c r="Q57" s="64"/>
      <c r="R57" s="64"/>
      <c r="S57" s="64"/>
      <c r="T57" s="64"/>
      <c r="U57" s="64"/>
      <c r="V57" s="64"/>
      <c r="W57" s="77"/>
    </row>
    <row r="58" spans="1:23" x14ac:dyDescent="0.25">
      <c r="A58" s="108">
        <v>45245</v>
      </c>
      <c r="B58" s="80" t="s">
        <v>144</v>
      </c>
      <c r="C58" s="80" t="s">
        <v>131</v>
      </c>
      <c r="D58" s="173" t="s">
        <v>215</v>
      </c>
      <c r="E58" s="224">
        <f t="shared" si="4"/>
        <v>65.58</v>
      </c>
      <c r="F58" s="172">
        <v>10.93</v>
      </c>
      <c r="G58" s="64"/>
      <c r="H58" s="64"/>
      <c r="I58" s="64"/>
      <c r="J58" s="64"/>
      <c r="K58" s="64"/>
      <c r="L58" s="64">
        <v>54.65</v>
      </c>
      <c r="M58" s="64"/>
      <c r="N58" s="64"/>
      <c r="O58" s="77"/>
      <c r="P58" s="64"/>
      <c r="Q58" s="64"/>
      <c r="R58" s="64"/>
      <c r="S58" s="64"/>
      <c r="T58" s="64"/>
      <c r="U58" s="64"/>
      <c r="V58" s="64"/>
      <c r="W58" s="77"/>
    </row>
    <row r="59" spans="1:23" ht="29.25" x14ac:dyDescent="0.25">
      <c r="A59" s="108">
        <v>45245</v>
      </c>
      <c r="B59" s="80" t="s">
        <v>144</v>
      </c>
      <c r="C59" s="80" t="s">
        <v>131</v>
      </c>
      <c r="D59" s="173" t="s">
        <v>222</v>
      </c>
      <c r="E59" s="224">
        <f t="shared" si="4"/>
        <v>399.17999999999995</v>
      </c>
      <c r="F59" s="172">
        <v>66.53</v>
      </c>
      <c r="G59" s="64"/>
      <c r="H59" s="64"/>
      <c r="I59" s="64"/>
      <c r="J59" s="64"/>
      <c r="K59" s="64"/>
      <c r="L59" s="64">
        <v>332.65</v>
      </c>
      <c r="M59" s="64"/>
      <c r="N59" s="64"/>
      <c r="O59" s="77"/>
      <c r="P59" s="64"/>
      <c r="Q59" s="64"/>
      <c r="R59" s="64"/>
      <c r="S59" s="64"/>
      <c r="T59" s="64"/>
      <c r="U59" s="64"/>
      <c r="V59" s="64"/>
      <c r="W59" s="77"/>
    </row>
    <row r="60" spans="1:23" x14ac:dyDescent="0.25">
      <c r="A60" s="108">
        <v>45261</v>
      </c>
      <c r="B60" s="80" t="s">
        <v>144</v>
      </c>
      <c r="C60" s="80" t="s">
        <v>138</v>
      </c>
      <c r="D60" s="173" t="s">
        <v>223</v>
      </c>
      <c r="E60" s="224">
        <f t="shared" si="4"/>
        <v>375.56</v>
      </c>
      <c r="F60" s="238"/>
      <c r="G60" s="64"/>
      <c r="H60" s="64"/>
      <c r="I60" s="64"/>
      <c r="J60" s="64">
        <v>375.56</v>
      </c>
      <c r="K60" s="64"/>
      <c r="L60" s="64"/>
      <c r="M60" s="64"/>
      <c r="N60" s="64"/>
      <c r="O60" s="77"/>
      <c r="P60" s="64"/>
      <c r="Q60" s="64"/>
      <c r="R60" s="64"/>
      <c r="S60" s="64"/>
      <c r="T60" s="64"/>
      <c r="U60" s="64"/>
      <c r="V60" s="64"/>
      <c r="W60" s="77"/>
    </row>
    <row r="61" spans="1:23" x14ac:dyDescent="0.25">
      <c r="A61" s="108">
        <v>45273</v>
      </c>
      <c r="B61" s="80" t="s">
        <v>144</v>
      </c>
      <c r="C61" s="80" t="s">
        <v>131</v>
      </c>
      <c r="D61" s="173" t="s">
        <v>227</v>
      </c>
      <c r="E61" s="224">
        <f t="shared" si="4"/>
        <v>65.58</v>
      </c>
      <c r="F61" s="269">
        <v>10.93</v>
      </c>
      <c r="G61" s="64"/>
      <c r="H61" s="64"/>
      <c r="I61" s="64"/>
      <c r="J61" s="64"/>
      <c r="K61" s="64"/>
      <c r="L61" s="64">
        <v>54.65</v>
      </c>
      <c r="M61" s="64"/>
      <c r="N61" s="64"/>
      <c r="O61" s="77"/>
      <c r="P61" s="64"/>
      <c r="Q61" s="64"/>
      <c r="R61" s="64"/>
      <c r="S61" s="64"/>
      <c r="T61" s="64"/>
      <c r="U61" s="64"/>
      <c r="V61" s="64"/>
      <c r="W61" s="77"/>
    </row>
    <row r="62" spans="1:23" x14ac:dyDescent="0.25">
      <c r="A62" s="108">
        <v>45300</v>
      </c>
      <c r="B62" s="80" t="s">
        <v>144</v>
      </c>
      <c r="C62" s="80" t="s">
        <v>138</v>
      </c>
      <c r="D62" s="173" t="s">
        <v>228</v>
      </c>
      <c r="E62" s="224">
        <f t="shared" si="4"/>
        <v>264.62</v>
      </c>
      <c r="F62" s="238"/>
      <c r="G62" s="64"/>
      <c r="H62" s="64"/>
      <c r="I62" s="64"/>
      <c r="J62" s="64">
        <v>264.62</v>
      </c>
      <c r="K62" s="64"/>
      <c r="L62" s="64"/>
      <c r="M62" s="64"/>
      <c r="N62" s="64"/>
      <c r="O62" s="77"/>
      <c r="P62" s="64"/>
      <c r="Q62" s="64"/>
      <c r="R62" s="64"/>
      <c r="S62" s="64"/>
      <c r="T62" s="64"/>
      <c r="U62" s="64"/>
      <c r="V62" s="64"/>
      <c r="W62" s="77"/>
    </row>
    <row r="63" spans="1:23" x14ac:dyDescent="0.25">
      <c r="A63" s="108">
        <v>45300</v>
      </c>
      <c r="B63" s="80" t="s">
        <v>144</v>
      </c>
      <c r="C63" s="80" t="s">
        <v>132</v>
      </c>
      <c r="D63" s="173" t="s">
        <v>136</v>
      </c>
      <c r="E63" s="224">
        <f t="shared" si="4"/>
        <v>172</v>
      </c>
      <c r="F63" s="238"/>
      <c r="G63" s="64"/>
      <c r="H63" s="64"/>
      <c r="I63" s="64"/>
      <c r="J63" s="64">
        <v>172</v>
      </c>
      <c r="K63" s="64"/>
      <c r="L63" s="64"/>
      <c r="M63" s="64"/>
      <c r="N63" s="64"/>
      <c r="O63" s="77"/>
      <c r="P63" s="64"/>
      <c r="Q63" s="64"/>
      <c r="R63" s="64"/>
      <c r="S63" s="64"/>
      <c r="T63" s="64"/>
      <c r="U63" s="64"/>
      <c r="V63" s="64"/>
      <c r="W63" s="77"/>
    </row>
    <row r="64" spans="1:23" x14ac:dyDescent="0.25">
      <c r="A64" s="108">
        <v>45300</v>
      </c>
      <c r="B64" s="80" t="s">
        <v>144</v>
      </c>
      <c r="C64" s="80" t="s">
        <v>15</v>
      </c>
      <c r="D64" s="173" t="s">
        <v>15</v>
      </c>
      <c r="E64" s="224">
        <f t="shared" si="4"/>
        <v>60</v>
      </c>
      <c r="F64" s="238"/>
      <c r="G64" s="64"/>
      <c r="H64" s="64"/>
      <c r="I64" s="64"/>
      <c r="J64" s="64"/>
      <c r="K64" s="64">
        <v>60</v>
      </c>
      <c r="L64" s="64"/>
      <c r="M64" s="64"/>
      <c r="N64" s="64"/>
      <c r="O64" s="77"/>
      <c r="P64" s="64"/>
      <c r="Q64" s="64"/>
      <c r="R64" s="64"/>
      <c r="S64" s="64"/>
      <c r="T64" s="64"/>
      <c r="U64" s="64"/>
      <c r="V64" s="64"/>
      <c r="W64" s="77"/>
    </row>
    <row r="65" spans="1:24" ht="29.25" x14ac:dyDescent="0.25">
      <c r="A65" s="108">
        <v>45300</v>
      </c>
      <c r="B65" s="80" t="s">
        <v>144</v>
      </c>
      <c r="C65" s="80" t="s">
        <v>162</v>
      </c>
      <c r="D65" s="173" t="s">
        <v>232</v>
      </c>
      <c r="E65" s="224">
        <f t="shared" si="4"/>
        <v>1738.3</v>
      </c>
      <c r="F65" s="172">
        <v>289.72000000000003</v>
      </c>
      <c r="G65" s="64">
        <v>1448.58</v>
      </c>
      <c r="H65" s="64"/>
      <c r="I65" s="64"/>
      <c r="J65" s="64"/>
      <c r="K65" s="64"/>
      <c r="L65" s="64"/>
      <c r="M65" s="64"/>
      <c r="N65" s="64"/>
      <c r="O65" s="77"/>
      <c r="P65" s="64"/>
      <c r="Q65" s="64"/>
      <c r="R65" s="64"/>
      <c r="S65" s="64"/>
      <c r="T65" s="64"/>
      <c r="U65" s="64"/>
      <c r="V65" s="64"/>
      <c r="W65" s="77"/>
    </row>
    <row r="66" spans="1:24" ht="29.25" x14ac:dyDescent="0.25">
      <c r="A66" s="108">
        <v>45323</v>
      </c>
      <c r="B66" s="80" t="s">
        <v>144</v>
      </c>
      <c r="C66" s="80" t="s">
        <v>131</v>
      </c>
      <c r="D66" s="173" t="s">
        <v>247</v>
      </c>
      <c r="E66" s="224">
        <f t="shared" si="4"/>
        <v>65.58</v>
      </c>
      <c r="F66" s="269">
        <v>10.93</v>
      </c>
      <c r="G66" s="220"/>
      <c r="H66" s="64"/>
      <c r="I66" s="64"/>
      <c r="J66" s="64"/>
      <c r="K66" s="64"/>
      <c r="L66" s="64">
        <v>54.65</v>
      </c>
      <c r="M66" s="64"/>
      <c r="N66" s="64"/>
      <c r="O66" s="77"/>
      <c r="P66" s="64"/>
      <c r="Q66" s="64"/>
      <c r="R66" s="64"/>
      <c r="S66" s="64"/>
      <c r="T66" s="64"/>
      <c r="U66" s="64"/>
      <c r="V66" s="64"/>
      <c r="W66" s="77"/>
    </row>
    <row r="67" spans="1:24" x14ac:dyDescent="0.25">
      <c r="A67" s="108">
        <v>45323</v>
      </c>
      <c r="B67" s="80" t="s">
        <v>144</v>
      </c>
      <c r="C67" s="80" t="s">
        <v>138</v>
      </c>
      <c r="D67" s="173" t="s">
        <v>248</v>
      </c>
      <c r="E67" s="224">
        <f t="shared" si="4"/>
        <v>515.44000000000005</v>
      </c>
      <c r="F67" s="238"/>
      <c r="G67" s="220"/>
      <c r="H67" s="64"/>
      <c r="I67" s="64"/>
      <c r="J67" s="64">
        <v>515.44000000000005</v>
      </c>
      <c r="K67" s="64"/>
      <c r="L67" s="64"/>
      <c r="M67" s="64"/>
      <c r="N67" s="64"/>
      <c r="O67" s="77"/>
      <c r="P67" s="64"/>
      <c r="Q67" s="64"/>
      <c r="R67" s="64"/>
      <c r="S67" s="64"/>
      <c r="T67" s="64"/>
      <c r="U67" s="64"/>
      <c r="V67" s="64"/>
      <c r="W67" s="77"/>
    </row>
    <row r="68" spans="1:24" x14ac:dyDescent="0.25">
      <c r="A68" s="108">
        <v>45363</v>
      </c>
      <c r="B68" s="80" t="s">
        <v>144</v>
      </c>
      <c r="C68" s="80" t="s">
        <v>138</v>
      </c>
      <c r="D68" s="173" t="s">
        <v>258</v>
      </c>
      <c r="E68" s="224">
        <f t="shared" si="4"/>
        <v>113.4</v>
      </c>
      <c r="F68" s="238"/>
      <c r="G68" s="261"/>
      <c r="H68" s="64"/>
      <c r="I68" s="64"/>
      <c r="J68" s="64"/>
      <c r="K68" s="64"/>
      <c r="L68" s="64"/>
      <c r="M68" s="64"/>
      <c r="N68" s="64"/>
      <c r="O68" s="64">
        <f>14*18*0.45</f>
        <v>113.4</v>
      </c>
      <c r="P68" s="64"/>
      <c r="Q68" s="64"/>
      <c r="R68" s="64"/>
      <c r="S68" s="64"/>
      <c r="T68" s="64"/>
      <c r="U68" s="64"/>
      <c r="V68" s="64"/>
      <c r="W68" s="77"/>
    </row>
    <row r="69" spans="1:24" x14ac:dyDescent="0.25">
      <c r="A69" s="108">
        <v>45363</v>
      </c>
      <c r="B69" s="80" t="s">
        <v>144</v>
      </c>
      <c r="C69" s="80" t="s">
        <v>138</v>
      </c>
      <c r="D69" s="173" t="s">
        <v>259</v>
      </c>
      <c r="E69" s="224">
        <f t="shared" si="4"/>
        <v>264.62</v>
      </c>
      <c r="F69" s="238"/>
      <c r="G69" s="261"/>
      <c r="H69" s="64"/>
      <c r="I69" s="64"/>
      <c r="J69" s="64">
        <v>264.62</v>
      </c>
      <c r="K69" s="64"/>
      <c r="L69" s="64"/>
      <c r="M69" s="64"/>
      <c r="N69" s="64"/>
      <c r="O69" s="77"/>
      <c r="P69" s="64"/>
      <c r="Q69" s="64"/>
      <c r="R69" s="64"/>
      <c r="S69" s="64"/>
      <c r="T69" s="64"/>
      <c r="U69" s="64"/>
      <c r="V69" s="64"/>
      <c r="W69" s="77"/>
    </row>
    <row r="70" spans="1:24" x14ac:dyDescent="0.25">
      <c r="A70" s="108">
        <v>45363</v>
      </c>
      <c r="B70" s="80" t="s">
        <v>144</v>
      </c>
      <c r="C70" s="80" t="s">
        <v>131</v>
      </c>
      <c r="D70" s="173" t="s">
        <v>260</v>
      </c>
      <c r="E70" s="224">
        <f t="shared" si="4"/>
        <v>65.58</v>
      </c>
      <c r="F70" s="269">
        <v>10.93</v>
      </c>
      <c r="G70" s="261"/>
      <c r="H70" s="64"/>
      <c r="I70" s="64"/>
      <c r="J70" s="64"/>
      <c r="K70" s="64"/>
      <c r="L70" s="64">
        <v>54.65</v>
      </c>
      <c r="M70" s="64"/>
      <c r="N70" s="64"/>
      <c r="O70" s="77"/>
      <c r="P70" s="64"/>
      <c r="Q70" s="64"/>
      <c r="R70" s="64"/>
      <c r="S70" s="64"/>
      <c r="T70" s="64"/>
      <c r="U70" s="64"/>
      <c r="V70" s="64"/>
      <c r="W70" s="77"/>
    </row>
    <row r="71" spans="1:24" x14ac:dyDescent="0.25">
      <c r="A71" s="108">
        <v>45363</v>
      </c>
      <c r="B71" s="80" t="s">
        <v>144</v>
      </c>
      <c r="C71" s="80" t="s">
        <v>131</v>
      </c>
      <c r="D71" s="173" t="s">
        <v>261</v>
      </c>
      <c r="E71" s="224">
        <f t="shared" si="4"/>
        <v>65.58</v>
      </c>
      <c r="F71" s="272">
        <v>10.93</v>
      </c>
      <c r="G71" s="261"/>
      <c r="H71" s="64"/>
      <c r="I71" s="64"/>
      <c r="J71" s="64"/>
      <c r="K71" s="64"/>
      <c r="L71" s="64">
        <v>54.65</v>
      </c>
      <c r="M71" s="64"/>
      <c r="N71" s="64"/>
      <c r="O71" s="77"/>
      <c r="P71" s="64"/>
      <c r="Q71" s="64"/>
      <c r="R71" s="64"/>
      <c r="S71" s="64"/>
      <c r="T71" s="64"/>
      <c r="U71" s="64"/>
      <c r="V71" s="64"/>
      <c r="W71" s="77"/>
    </row>
    <row r="72" spans="1:24" x14ac:dyDescent="0.25">
      <c r="A72" s="108">
        <v>45363</v>
      </c>
      <c r="B72" s="80" t="s">
        <v>144</v>
      </c>
      <c r="C72" s="257" t="s">
        <v>131</v>
      </c>
      <c r="D72" s="271" t="s">
        <v>262</v>
      </c>
      <c r="E72" s="224">
        <f t="shared" si="4"/>
        <v>141.65</v>
      </c>
      <c r="F72" s="269">
        <v>23.61</v>
      </c>
      <c r="G72" s="261"/>
      <c r="H72" s="64"/>
      <c r="I72" s="64"/>
      <c r="J72" s="64"/>
      <c r="K72" s="64"/>
      <c r="L72" s="64"/>
      <c r="M72" s="64"/>
      <c r="N72" s="64"/>
      <c r="O72" s="77"/>
      <c r="P72" s="64"/>
      <c r="Q72" s="64">
        <v>118.04</v>
      </c>
      <c r="R72" s="64"/>
      <c r="S72" s="64"/>
      <c r="T72" s="64"/>
      <c r="U72" s="64"/>
      <c r="V72" s="64"/>
      <c r="W72" s="65"/>
    </row>
    <row r="73" spans="1:24" x14ac:dyDescent="0.25">
      <c r="A73" s="108">
        <v>45363</v>
      </c>
      <c r="B73" s="80" t="s">
        <v>144</v>
      </c>
      <c r="C73" s="257" t="s">
        <v>15</v>
      </c>
      <c r="D73" s="271" t="s">
        <v>15</v>
      </c>
      <c r="E73" s="224">
        <f t="shared" si="4"/>
        <v>60</v>
      </c>
      <c r="F73" s="64"/>
      <c r="G73" s="261"/>
      <c r="H73" s="64"/>
      <c r="I73" s="64"/>
      <c r="J73" s="64"/>
      <c r="K73" s="64">
        <v>60</v>
      </c>
      <c r="L73" s="64"/>
      <c r="M73" s="64"/>
      <c r="N73" s="64"/>
      <c r="O73" s="77"/>
      <c r="P73" s="64"/>
      <c r="Q73" s="64"/>
      <c r="R73" s="64"/>
      <c r="S73" s="64"/>
      <c r="T73" s="64"/>
      <c r="U73" s="64"/>
      <c r="V73" s="64"/>
      <c r="W73" s="65"/>
    </row>
    <row r="74" spans="1:24" x14ac:dyDescent="0.25">
      <c r="A74" s="108">
        <v>45363</v>
      </c>
      <c r="B74" s="257" t="s">
        <v>144</v>
      </c>
      <c r="C74" s="257" t="s">
        <v>287</v>
      </c>
      <c r="D74" s="271" t="s">
        <v>174</v>
      </c>
      <c r="E74" s="224">
        <f t="shared" si="4"/>
        <v>10</v>
      </c>
      <c r="F74" s="64"/>
      <c r="G74" s="270"/>
      <c r="H74" s="64"/>
      <c r="I74" s="64"/>
      <c r="J74" s="64"/>
      <c r="K74" s="64"/>
      <c r="L74" s="64"/>
      <c r="M74" s="64"/>
      <c r="N74" s="64"/>
      <c r="O74" s="64">
        <v>10</v>
      </c>
      <c r="P74" s="64"/>
      <c r="Q74" s="64"/>
      <c r="R74" s="64"/>
      <c r="S74" s="64"/>
      <c r="T74" s="64"/>
      <c r="U74" s="64"/>
      <c r="V74" s="64"/>
      <c r="W74" s="65"/>
    </row>
    <row r="75" spans="1:24" s="72" customFormat="1" x14ac:dyDescent="0.25">
      <c r="A75" s="108"/>
      <c r="B75" s="93"/>
      <c r="C75" s="93"/>
      <c r="D75" s="174"/>
      <c r="E75" s="64">
        <f t="shared" si="4"/>
        <v>0</v>
      </c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94"/>
    </row>
    <row r="76" spans="1:24" x14ac:dyDescent="0.25">
      <c r="B76" s="75"/>
      <c r="C76" s="75"/>
      <c r="D76" s="75"/>
      <c r="E76" s="64">
        <f>SUM(E18:E75)</f>
        <v>15700.97</v>
      </c>
      <c r="F76" s="65">
        <f t="shared" ref="F76:W76" si="5">SUM(F18:F75)</f>
        <v>1671.0600000000004</v>
      </c>
      <c r="G76" s="65">
        <f t="shared" si="5"/>
        <v>3217.16</v>
      </c>
      <c r="H76" s="65">
        <f t="shared" si="5"/>
        <v>91.65</v>
      </c>
      <c r="I76" s="65">
        <f t="shared" si="5"/>
        <v>0</v>
      </c>
      <c r="J76" s="65">
        <f t="shared" si="5"/>
        <v>3992.48</v>
      </c>
      <c r="K76" s="65">
        <f t="shared" si="5"/>
        <v>362.49</v>
      </c>
      <c r="L76" s="65">
        <f t="shared" si="5"/>
        <v>1119.8499999999999</v>
      </c>
      <c r="M76" s="65">
        <f t="shared" si="5"/>
        <v>432.58</v>
      </c>
      <c r="N76" s="65">
        <f t="shared" si="5"/>
        <v>18.32</v>
      </c>
      <c r="O76" s="65">
        <f t="shared" si="5"/>
        <v>220.53</v>
      </c>
      <c r="P76" s="65">
        <f t="shared" si="5"/>
        <v>0</v>
      </c>
      <c r="Q76" s="65">
        <f t="shared" si="5"/>
        <v>118.04</v>
      </c>
      <c r="R76" s="65">
        <f>SUM(R18:R75)</f>
        <v>90</v>
      </c>
      <c r="S76" s="65">
        <f>SUM(S18:S75)</f>
        <v>0</v>
      </c>
      <c r="T76" s="65">
        <f>SUM(T18:T75)</f>
        <v>4180</v>
      </c>
      <c r="U76" s="65">
        <f>SUM(U18:U75)</f>
        <v>0</v>
      </c>
      <c r="V76" s="65">
        <f>SUM(V18:V75)</f>
        <v>0</v>
      </c>
      <c r="W76" s="65">
        <f t="shared" si="5"/>
        <v>186.81</v>
      </c>
      <c r="X76" s="76">
        <f>SUM(F76:W76)</f>
        <v>15700.970000000001</v>
      </c>
    </row>
    <row r="77" spans="1:24" x14ac:dyDescent="0.25">
      <c r="B77" s="67"/>
      <c r="D77" s="67"/>
      <c r="E77" s="76"/>
      <c r="Q77" s="76"/>
      <c r="R77" s="76"/>
      <c r="S77" s="76"/>
      <c r="T77" s="76"/>
      <c r="U77" s="76"/>
      <c r="V77" s="76"/>
    </row>
    <row r="78" spans="1:24" x14ac:dyDescent="0.25">
      <c r="B78" s="265"/>
      <c r="C78"/>
      <c r="D78" s="78"/>
      <c r="E78" s="78"/>
      <c r="F78" s="78"/>
      <c r="G78" s="79"/>
      <c r="H78" s="78"/>
      <c r="I78" s="78"/>
      <c r="J78" s="78"/>
      <c r="K78" s="78"/>
      <c r="L78" s="78"/>
      <c r="M78" s="78"/>
      <c r="N78" s="78"/>
      <c r="O78" s="78"/>
    </row>
    <row r="79" spans="1:24" x14ac:dyDescent="0.25">
      <c r="B79" s="266" t="s">
        <v>99</v>
      </c>
      <c r="C79"/>
      <c r="D79" s="4"/>
      <c r="F79" s="120"/>
      <c r="H79"/>
      <c r="M79" s="120"/>
      <c r="O79"/>
    </row>
    <row r="80" spans="1:24" x14ac:dyDescent="0.25">
      <c r="B80" s="262" t="s">
        <v>249</v>
      </c>
      <c r="C80" s="263"/>
      <c r="D80" s="264"/>
    </row>
    <row r="81" spans="1:15" x14ac:dyDescent="0.25">
      <c r="B81" s="268" t="s">
        <v>263</v>
      </c>
      <c r="C81" s="263"/>
      <c r="D81" s="264"/>
    </row>
    <row r="82" spans="1:15" x14ac:dyDescent="0.25">
      <c r="B82" s="267" t="s">
        <v>49</v>
      </c>
      <c r="C82"/>
    </row>
    <row r="84" spans="1:15" x14ac:dyDescent="0.25">
      <c r="D84"/>
      <c r="E84"/>
      <c r="F84" s="120"/>
      <c r="H84"/>
      <c r="M84" s="120"/>
      <c r="O84"/>
    </row>
    <row r="85" spans="1:15" x14ac:dyDescent="0.25">
      <c r="A85" s="101"/>
      <c r="B85"/>
      <c r="E85"/>
    </row>
    <row r="86" spans="1:15" x14ac:dyDescent="0.25">
      <c r="A86" s="101"/>
    </row>
    <row r="87" spans="1:15" x14ac:dyDescent="0.25">
      <c r="A87" s="101"/>
    </row>
    <row r="88" spans="1:15" x14ac:dyDescent="0.25">
      <c r="A88" s="101"/>
      <c r="F88" s="121"/>
      <c r="H88"/>
      <c r="M88" s="121"/>
      <c r="O88"/>
    </row>
    <row r="89" spans="1:15" x14ac:dyDescent="0.25">
      <c r="A89" s="101"/>
      <c r="B89"/>
    </row>
    <row r="90" spans="1:15" x14ac:dyDescent="0.25">
      <c r="A90" s="101"/>
    </row>
    <row r="91" spans="1:15" x14ac:dyDescent="0.25">
      <c r="A91" s="101"/>
    </row>
    <row r="92" spans="1:15" x14ac:dyDescent="0.25">
      <c r="A92" s="101"/>
    </row>
    <row r="93" spans="1:15" x14ac:dyDescent="0.25">
      <c r="A93" s="101"/>
      <c r="B93"/>
    </row>
    <row r="106" spans="10:10" x14ac:dyDescent="0.25">
      <c r="J106" s="67"/>
    </row>
  </sheetData>
  <phoneticPr fontId="24" type="noConversion"/>
  <pageMargins left="0.7" right="0.7" top="0.75" bottom="0.75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3F3F-25FF-45C0-8BA2-04DC3661E282}">
  <sheetPr>
    <pageSetUpPr fitToPage="1"/>
  </sheetPr>
  <dimension ref="A1:H22"/>
  <sheetViews>
    <sheetView workbookViewId="0">
      <selection activeCell="B23" sqref="B23"/>
    </sheetView>
  </sheetViews>
  <sheetFormatPr defaultRowHeight="15" x14ac:dyDescent="0.25"/>
  <cols>
    <col min="1" max="1" width="15.85546875" bestFit="1" customWidth="1"/>
    <col min="2" max="2" width="54" bestFit="1" customWidth="1"/>
    <col min="3" max="3" width="32.42578125" bestFit="1" customWidth="1"/>
    <col min="4" max="4" width="12" style="84" bestFit="1" customWidth="1"/>
    <col min="5" max="5" width="12.85546875" bestFit="1" customWidth="1"/>
    <col min="6" max="6" width="11" bestFit="1" customWidth="1"/>
  </cols>
  <sheetData>
    <row r="1" spans="1:8" x14ac:dyDescent="0.25">
      <c r="A1" t="s">
        <v>105</v>
      </c>
      <c r="B1" t="s">
        <v>106</v>
      </c>
      <c r="C1" t="s">
        <v>107</v>
      </c>
      <c r="D1" s="84" t="s">
        <v>108</v>
      </c>
      <c r="E1" t="s">
        <v>109</v>
      </c>
      <c r="G1" s="222" t="s">
        <v>185</v>
      </c>
    </row>
    <row r="2" spans="1:8" x14ac:dyDescent="0.25">
      <c r="A2" s="184">
        <v>45019</v>
      </c>
      <c r="B2" t="s">
        <v>146</v>
      </c>
      <c r="C2" t="s">
        <v>147</v>
      </c>
      <c r="D2" s="221">
        <v>0.33</v>
      </c>
      <c r="E2">
        <v>25596651</v>
      </c>
      <c r="G2" s="259" t="s">
        <v>264</v>
      </c>
    </row>
    <row r="3" spans="1:8" x14ac:dyDescent="0.25">
      <c r="A3" s="184">
        <v>45029</v>
      </c>
      <c r="B3" t="s">
        <v>154</v>
      </c>
      <c r="C3" t="s">
        <v>160</v>
      </c>
      <c r="D3" s="221">
        <v>0.55000000000000004</v>
      </c>
      <c r="E3">
        <v>727255821</v>
      </c>
    </row>
    <row r="4" spans="1:8" x14ac:dyDescent="0.25">
      <c r="A4" s="184">
        <v>45121</v>
      </c>
      <c r="B4" t="s">
        <v>251</v>
      </c>
      <c r="C4" t="s">
        <v>168</v>
      </c>
      <c r="D4" s="221">
        <v>10.93</v>
      </c>
      <c r="E4">
        <v>127237969</v>
      </c>
    </row>
    <row r="5" spans="1:8" x14ac:dyDescent="0.25">
      <c r="A5" s="184">
        <v>45044</v>
      </c>
      <c r="B5" t="s">
        <v>163</v>
      </c>
      <c r="C5" t="s">
        <v>162</v>
      </c>
      <c r="D5" s="221">
        <v>96.57</v>
      </c>
      <c r="E5">
        <v>7691054</v>
      </c>
    </row>
    <row r="6" spans="1:8" x14ac:dyDescent="0.25">
      <c r="A6" s="184">
        <v>45049</v>
      </c>
      <c r="B6" t="s">
        <v>167</v>
      </c>
      <c r="C6" t="s">
        <v>160</v>
      </c>
      <c r="D6" s="221">
        <v>3</v>
      </c>
      <c r="E6">
        <v>727255821</v>
      </c>
    </row>
    <row r="7" spans="1:8" x14ac:dyDescent="0.25">
      <c r="A7" s="184">
        <v>45077</v>
      </c>
      <c r="B7" t="s">
        <v>163</v>
      </c>
      <c r="C7" t="s">
        <v>162</v>
      </c>
      <c r="D7" s="221">
        <v>96.57</v>
      </c>
      <c r="E7">
        <v>7691054</v>
      </c>
    </row>
    <row r="8" spans="1:8" x14ac:dyDescent="0.25">
      <c r="A8" s="184">
        <v>45099</v>
      </c>
      <c r="B8" t="s">
        <v>250</v>
      </c>
      <c r="C8" t="s">
        <v>168</v>
      </c>
      <c r="D8" s="221">
        <v>15</v>
      </c>
      <c r="E8">
        <v>127237969</v>
      </c>
    </row>
    <row r="9" spans="1:8" x14ac:dyDescent="0.25">
      <c r="A9" s="184">
        <v>45106</v>
      </c>
      <c r="B9" t="s">
        <v>172</v>
      </c>
      <c r="C9" t="s">
        <v>173</v>
      </c>
      <c r="D9" s="221">
        <v>0.5</v>
      </c>
      <c r="E9">
        <v>320093700</v>
      </c>
      <c r="G9" s="84"/>
      <c r="H9" s="84"/>
    </row>
    <row r="10" spans="1:8" x14ac:dyDescent="0.25">
      <c r="A10" s="184">
        <v>45107</v>
      </c>
      <c r="B10" t="s">
        <v>163</v>
      </c>
      <c r="C10" t="s">
        <v>162</v>
      </c>
      <c r="D10" s="221">
        <v>96.57</v>
      </c>
      <c r="E10">
        <v>7691054</v>
      </c>
    </row>
    <row r="11" spans="1:8" x14ac:dyDescent="0.25">
      <c r="A11" s="184">
        <v>45119</v>
      </c>
      <c r="B11" t="s">
        <v>183</v>
      </c>
      <c r="C11" t="s">
        <v>182</v>
      </c>
      <c r="D11" s="221">
        <v>836</v>
      </c>
      <c r="E11">
        <v>846242818</v>
      </c>
    </row>
    <row r="12" spans="1:8" x14ac:dyDescent="0.25">
      <c r="A12" s="184">
        <v>45141</v>
      </c>
      <c r="B12" t="s">
        <v>252</v>
      </c>
      <c r="C12" t="s">
        <v>168</v>
      </c>
      <c r="D12" s="221">
        <v>65.930000000000007</v>
      </c>
      <c r="E12">
        <v>127237969</v>
      </c>
    </row>
    <row r="13" spans="1:8" x14ac:dyDescent="0.25">
      <c r="A13" s="184">
        <v>45182</v>
      </c>
      <c r="B13" t="s">
        <v>211</v>
      </c>
      <c r="C13" t="s">
        <v>212</v>
      </c>
      <c r="D13" s="221">
        <v>3.67</v>
      </c>
      <c r="E13">
        <v>240800405</v>
      </c>
    </row>
    <row r="14" spans="1:8" x14ac:dyDescent="0.25">
      <c r="A14" s="184">
        <v>45184</v>
      </c>
      <c r="B14" t="s">
        <v>253</v>
      </c>
      <c r="C14" t="s">
        <v>168</v>
      </c>
      <c r="D14" s="221">
        <v>10.93</v>
      </c>
      <c r="E14">
        <v>127237969</v>
      </c>
    </row>
    <row r="15" spans="1:8" x14ac:dyDescent="0.25">
      <c r="A15" s="184">
        <v>45238</v>
      </c>
      <c r="B15" t="s">
        <v>254</v>
      </c>
      <c r="C15" t="s">
        <v>168</v>
      </c>
      <c r="D15" s="221">
        <v>66.53</v>
      </c>
      <c r="E15">
        <v>127237969</v>
      </c>
    </row>
    <row r="16" spans="1:8" x14ac:dyDescent="0.25">
      <c r="A16" s="184">
        <v>45260</v>
      </c>
      <c r="B16" t="s">
        <v>163</v>
      </c>
      <c r="C16" t="s">
        <v>162</v>
      </c>
      <c r="D16" s="221">
        <v>289.72000000000003</v>
      </c>
      <c r="E16">
        <v>115104665</v>
      </c>
    </row>
    <row r="17" spans="1:5" x14ac:dyDescent="0.25">
      <c r="A17" s="184">
        <v>45268</v>
      </c>
      <c r="B17" t="s">
        <v>256</v>
      </c>
      <c r="C17" t="s">
        <v>168</v>
      </c>
      <c r="D17" s="221">
        <v>10.93</v>
      </c>
      <c r="E17">
        <v>127237969</v>
      </c>
    </row>
    <row r="18" spans="1:5" x14ac:dyDescent="0.25">
      <c r="A18" s="184">
        <v>45210</v>
      </c>
      <c r="B18" t="s">
        <v>255</v>
      </c>
      <c r="C18" t="s">
        <v>168</v>
      </c>
      <c r="D18" s="260">
        <v>10.93</v>
      </c>
      <c r="E18">
        <v>127237969</v>
      </c>
    </row>
    <row r="19" spans="1:5" x14ac:dyDescent="0.25">
      <c r="A19" s="184">
        <v>45302</v>
      </c>
      <c r="B19" t="s">
        <v>257</v>
      </c>
      <c r="C19" t="s">
        <v>168</v>
      </c>
      <c r="D19" s="260">
        <v>10.93</v>
      </c>
      <c r="E19">
        <v>127237969</v>
      </c>
    </row>
    <row r="20" spans="1:5" x14ac:dyDescent="0.25">
      <c r="A20" s="184">
        <v>45330</v>
      </c>
      <c r="B20" t="s">
        <v>260</v>
      </c>
      <c r="C20" t="s">
        <v>168</v>
      </c>
      <c r="D20" s="260">
        <v>10.93</v>
      </c>
      <c r="E20">
        <v>127237969</v>
      </c>
    </row>
    <row r="21" spans="1:5" x14ac:dyDescent="0.25">
      <c r="A21" s="184">
        <v>45331</v>
      </c>
      <c r="B21" t="s">
        <v>270</v>
      </c>
      <c r="C21" t="s">
        <v>168</v>
      </c>
      <c r="D21" s="260">
        <v>23.61</v>
      </c>
      <c r="E21">
        <v>127237969</v>
      </c>
    </row>
    <row r="22" spans="1:5" x14ac:dyDescent="0.25">
      <c r="A22" s="184">
        <v>45330</v>
      </c>
      <c r="B22" t="s">
        <v>261</v>
      </c>
      <c r="C22" t="s">
        <v>168</v>
      </c>
      <c r="D22" s="260">
        <v>10.93</v>
      </c>
      <c r="E22">
        <v>127237969</v>
      </c>
    </row>
  </sheetData>
  <sortState xmlns:xlrd2="http://schemas.microsoft.com/office/spreadsheetml/2017/richdata2" ref="A2:E17">
    <sortCondition ref="A2:A17"/>
  </sortState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7ED8-A591-4A5D-B623-7511AA038DC7}">
  <dimension ref="A1:C5"/>
  <sheetViews>
    <sheetView workbookViewId="0">
      <selection activeCell="C6" sqref="C6"/>
    </sheetView>
  </sheetViews>
  <sheetFormatPr defaultRowHeight="15" x14ac:dyDescent="0.25"/>
  <cols>
    <col min="1" max="1" width="26.7109375" bestFit="1" customWidth="1"/>
  </cols>
  <sheetData>
    <row r="1" spans="1:3" x14ac:dyDescent="0.25">
      <c r="A1" s="273" t="s">
        <v>283</v>
      </c>
      <c r="B1" s="274">
        <v>9.93</v>
      </c>
      <c r="C1" t="s">
        <v>280</v>
      </c>
    </row>
    <row r="2" spans="1:3" x14ac:dyDescent="0.25">
      <c r="B2">
        <v>123</v>
      </c>
      <c r="C2" t="s">
        <v>281</v>
      </c>
    </row>
    <row r="3" spans="1:3" ht="15.75" thickBot="1" x14ac:dyDescent="0.3">
      <c r="B3" s="275">
        <f>B1*B2</f>
        <v>1221.3899999999999</v>
      </c>
      <c r="C3" t="s">
        <v>282</v>
      </c>
    </row>
    <row r="4" spans="1:3" ht="15.75" thickTop="1" x14ac:dyDescent="0.25"/>
    <row r="5" spans="1:3" x14ac:dyDescent="0.25">
      <c r="B5">
        <f>'Balance Sheet'!E29</f>
        <v>18.32</v>
      </c>
      <c r="C5" t="s">
        <v>284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2"/>
  <sheetViews>
    <sheetView zoomScaleNormal="100" workbookViewId="0">
      <pane ySplit="3" topLeftCell="A58" activePane="bottomLeft" state="frozen"/>
      <selection pane="bottomLeft" activeCell="G72" sqref="G72"/>
    </sheetView>
  </sheetViews>
  <sheetFormatPr defaultColWidth="10" defaultRowHeight="15" x14ac:dyDescent="0.25"/>
  <cols>
    <col min="1" max="1" width="43.28515625" style="246" bestFit="1" customWidth="1"/>
    <col min="2" max="2" width="13" style="89" customWidth="1"/>
    <col min="3" max="3" width="18.85546875" style="9" bestFit="1" customWidth="1"/>
    <col min="4" max="4" width="32.140625" customWidth="1"/>
    <col min="5" max="5" width="39.85546875" bestFit="1" customWidth="1"/>
    <col min="6" max="6" width="15" style="84" customWidth="1"/>
    <col min="7" max="7" width="13.7109375" customWidth="1"/>
    <col min="8" max="8" width="2.7109375" customWidth="1"/>
    <col min="9" max="9" width="23.7109375" customWidth="1"/>
    <col min="10" max="10" width="37.5703125" bestFit="1" customWidth="1"/>
  </cols>
  <sheetData>
    <row r="1" spans="1:9" ht="15.75" x14ac:dyDescent="0.25">
      <c r="A1" s="159" t="s">
        <v>127</v>
      </c>
      <c r="B1" s="88"/>
      <c r="C1" s="7"/>
      <c r="D1" s="6"/>
      <c r="E1" s="6"/>
      <c r="F1" s="83"/>
      <c r="G1" s="8"/>
    </row>
    <row r="2" spans="1:9" x14ac:dyDescent="0.25">
      <c r="A2" s="244"/>
      <c r="G2" s="10"/>
    </row>
    <row r="3" spans="1:9" ht="25.5" x14ac:dyDescent="0.25">
      <c r="A3" s="160" t="s">
        <v>16</v>
      </c>
      <c r="B3" s="90" t="s">
        <v>0</v>
      </c>
      <c r="C3" s="12" t="s">
        <v>17</v>
      </c>
      <c r="D3" s="11" t="s">
        <v>18</v>
      </c>
      <c r="E3" s="11" t="s">
        <v>19</v>
      </c>
      <c r="F3" s="85" t="s">
        <v>2</v>
      </c>
      <c r="G3" s="13" t="s">
        <v>20</v>
      </c>
    </row>
    <row r="4" spans="1:9" s="14" customFormat="1" ht="15.75" thickBot="1" x14ac:dyDescent="0.3">
      <c r="A4" s="245"/>
      <c r="B4" s="216">
        <v>45017</v>
      </c>
      <c r="C4" s="215"/>
      <c r="D4" s="217"/>
      <c r="E4" s="217" t="s">
        <v>21</v>
      </c>
      <c r="F4" s="218"/>
      <c r="G4" s="202">
        <v>11040.56</v>
      </c>
      <c r="I4" s="109"/>
    </row>
    <row r="5" spans="1:9" s="14" customFormat="1" x14ac:dyDescent="0.2">
      <c r="A5" s="203" t="s">
        <v>155</v>
      </c>
      <c r="B5" s="212">
        <v>45022</v>
      </c>
      <c r="C5" s="194" t="s">
        <v>156</v>
      </c>
      <c r="D5" s="213" t="s">
        <v>131</v>
      </c>
      <c r="E5" s="213" t="s">
        <v>157</v>
      </c>
      <c r="F5" s="214">
        <v>3565</v>
      </c>
      <c r="G5" s="197">
        <f>G4+F5</f>
        <v>14605.56</v>
      </c>
      <c r="H5" s="4"/>
      <c r="I5" s="107"/>
    </row>
    <row r="6" spans="1:9" x14ac:dyDescent="0.25">
      <c r="A6" s="175"/>
      <c r="B6" s="91">
        <v>45029</v>
      </c>
      <c r="C6" s="161" t="s">
        <v>158</v>
      </c>
      <c r="D6" s="98" t="s">
        <v>132</v>
      </c>
      <c r="E6" s="98" t="s">
        <v>136</v>
      </c>
      <c r="F6" s="99">
        <v>-111.4</v>
      </c>
      <c r="G6" s="3">
        <f t="shared" ref="G6:G67" si="0">G5+F6</f>
        <v>14494.16</v>
      </c>
      <c r="H6" s="4"/>
      <c r="I6" s="4"/>
    </row>
    <row r="7" spans="1:9" ht="15.75" thickBot="1" x14ac:dyDescent="0.3">
      <c r="A7" s="204"/>
      <c r="B7" s="198">
        <v>45029</v>
      </c>
      <c r="C7" s="199" t="s">
        <v>158</v>
      </c>
      <c r="D7" s="219" t="s">
        <v>138</v>
      </c>
      <c r="E7" s="217" t="s">
        <v>159</v>
      </c>
      <c r="F7" s="218">
        <v>-259.27999999999997</v>
      </c>
      <c r="G7" s="202">
        <f t="shared" si="0"/>
        <v>14234.88</v>
      </c>
      <c r="H7" s="4"/>
      <c r="I7" s="4"/>
    </row>
    <row r="8" spans="1:9" ht="15.75" thickBot="1" x14ac:dyDescent="0.3">
      <c r="A8" s="246" t="s">
        <v>186</v>
      </c>
      <c r="B8" s="108">
        <v>45055</v>
      </c>
      <c r="C8" s="199" t="s">
        <v>158</v>
      </c>
      <c r="D8" s="80" t="s">
        <v>134</v>
      </c>
      <c r="E8" s="173" t="s">
        <v>135</v>
      </c>
      <c r="F8" s="214">
        <v>-136.81</v>
      </c>
      <c r="G8" s="197">
        <f t="shared" si="0"/>
        <v>14098.07</v>
      </c>
      <c r="H8" s="4"/>
      <c r="I8" s="4"/>
    </row>
    <row r="9" spans="1:9" ht="15.75" thickBot="1" x14ac:dyDescent="0.3">
      <c r="B9" s="108">
        <v>45055</v>
      </c>
      <c r="C9" s="199" t="s">
        <v>158</v>
      </c>
      <c r="D9" s="80" t="s">
        <v>153</v>
      </c>
      <c r="E9" s="173" t="s">
        <v>145</v>
      </c>
      <c r="F9" s="86">
        <v>-2</v>
      </c>
      <c r="G9" s="197">
        <f t="shared" si="0"/>
        <v>14096.07</v>
      </c>
      <c r="H9" s="4"/>
      <c r="I9" s="4"/>
    </row>
    <row r="10" spans="1:9" ht="15.75" thickBot="1" x14ac:dyDescent="0.3">
      <c r="B10" s="108">
        <v>45055</v>
      </c>
      <c r="C10" s="199" t="s">
        <v>158</v>
      </c>
      <c r="D10" s="80" t="s">
        <v>139</v>
      </c>
      <c r="E10" s="173" t="s">
        <v>15</v>
      </c>
      <c r="F10" s="86">
        <v>-60</v>
      </c>
      <c r="G10" s="197">
        <f t="shared" si="0"/>
        <v>14036.07</v>
      </c>
      <c r="H10" s="4"/>
      <c r="I10" s="4"/>
    </row>
    <row r="11" spans="1:9" ht="15.75" thickBot="1" x14ac:dyDescent="0.3">
      <c r="B11" s="108">
        <v>45055</v>
      </c>
      <c r="C11" s="199" t="s">
        <v>158</v>
      </c>
      <c r="D11" s="80" t="s">
        <v>140</v>
      </c>
      <c r="E11" s="173" t="s">
        <v>13</v>
      </c>
      <c r="F11" s="86">
        <v>-432.58</v>
      </c>
      <c r="G11" s="197">
        <f t="shared" si="0"/>
        <v>13603.49</v>
      </c>
      <c r="H11" s="4"/>
      <c r="I11" s="4"/>
    </row>
    <row r="12" spans="1:9" ht="15.75" thickBot="1" x14ac:dyDescent="0.3">
      <c r="B12" s="108">
        <v>45055</v>
      </c>
      <c r="C12" s="199" t="s">
        <v>158</v>
      </c>
      <c r="D12" s="80" t="s">
        <v>138</v>
      </c>
      <c r="E12" s="173" t="s">
        <v>141</v>
      </c>
      <c r="F12" s="86">
        <v>-11.7</v>
      </c>
      <c r="G12" s="197">
        <f t="shared" si="0"/>
        <v>13591.789999999999</v>
      </c>
      <c r="H12" s="4"/>
      <c r="I12" s="4"/>
    </row>
    <row r="13" spans="1:9" ht="15.75" thickBot="1" x14ac:dyDescent="0.3">
      <c r="B13" s="108">
        <v>45055</v>
      </c>
      <c r="C13" s="199" t="s">
        <v>158</v>
      </c>
      <c r="D13" s="80" t="s">
        <v>142</v>
      </c>
      <c r="E13" s="173" t="s">
        <v>143</v>
      </c>
      <c r="F13" s="86">
        <v>-90</v>
      </c>
      <c r="G13" s="197">
        <f t="shared" si="0"/>
        <v>13501.789999999999</v>
      </c>
      <c r="H13" s="4"/>
      <c r="I13" s="4"/>
    </row>
    <row r="14" spans="1:9" ht="15.75" thickBot="1" x14ac:dyDescent="0.3">
      <c r="B14" s="108">
        <v>45055</v>
      </c>
      <c r="C14" s="199" t="s">
        <v>158</v>
      </c>
      <c r="D14" s="80" t="s">
        <v>149</v>
      </c>
      <c r="E14" s="173" t="s">
        <v>150</v>
      </c>
      <c r="F14" s="86">
        <v>-0.75</v>
      </c>
      <c r="G14" s="197">
        <f t="shared" si="0"/>
        <v>13501.039999999999</v>
      </c>
      <c r="H14" s="4"/>
      <c r="I14" s="4"/>
    </row>
    <row r="15" spans="1:9" ht="15.75" thickBot="1" x14ac:dyDescent="0.3">
      <c r="B15" s="108">
        <v>45055</v>
      </c>
      <c r="C15" s="199" t="s">
        <v>158</v>
      </c>
      <c r="D15" s="80" t="s">
        <v>138</v>
      </c>
      <c r="E15" s="80" t="s">
        <v>152</v>
      </c>
      <c r="F15" s="201">
        <v>-247.68</v>
      </c>
      <c r="G15" s="197">
        <f t="shared" si="0"/>
        <v>13253.359999999999</v>
      </c>
      <c r="H15" s="4"/>
      <c r="I15" s="4"/>
    </row>
    <row r="16" spans="1:9" ht="15.75" thickBot="1" x14ac:dyDescent="0.3">
      <c r="A16" s="247"/>
      <c r="B16" s="225">
        <v>45055</v>
      </c>
      <c r="C16" s="199" t="s">
        <v>158</v>
      </c>
      <c r="D16" s="226" t="s">
        <v>137</v>
      </c>
      <c r="E16" s="227" t="s">
        <v>154</v>
      </c>
      <c r="F16" s="228">
        <v>-3.27</v>
      </c>
      <c r="G16" s="229">
        <f t="shared" si="0"/>
        <v>13250.089999999998</v>
      </c>
      <c r="H16" s="4"/>
      <c r="I16" s="4"/>
    </row>
    <row r="17" spans="1:9" x14ac:dyDescent="0.25">
      <c r="A17" s="248" t="s">
        <v>192</v>
      </c>
      <c r="B17" s="235">
        <v>45086</v>
      </c>
      <c r="C17" s="234" t="s">
        <v>158</v>
      </c>
      <c r="D17" s="236" t="s">
        <v>193</v>
      </c>
      <c r="E17" s="195" t="s">
        <v>163</v>
      </c>
      <c r="F17" s="196">
        <v>-579.42999999999995</v>
      </c>
      <c r="G17" s="197">
        <f t="shared" si="0"/>
        <v>12670.659999999998</v>
      </c>
      <c r="H17" s="4"/>
      <c r="I17" s="4"/>
    </row>
    <row r="18" spans="1:9" ht="15.75" thickBot="1" x14ac:dyDescent="0.3">
      <c r="A18" s="230"/>
      <c r="B18" s="231"/>
      <c r="C18" s="233" t="s">
        <v>158</v>
      </c>
      <c r="D18" s="232" t="s">
        <v>138</v>
      </c>
      <c r="E18" s="232" t="s">
        <v>161</v>
      </c>
      <c r="F18" s="228">
        <v>-247.68</v>
      </c>
      <c r="G18" s="229">
        <f t="shared" si="0"/>
        <v>12422.979999999998</v>
      </c>
      <c r="H18" s="4"/>
      <c r="I18" s="4"/>
    </row>
    <row r="19" spans="1:9" x14ac:dyDescent="0.25">
      <c r="A19" s="203" t="s">
        <v>191</v>
      </c>
      <c r="B19" s="193">
        <v>45114</v>
      </c>
      <c r="C19" s="194" t="s">
        <v>158</v>
      </c>
      <c r="D19" s="195" t="s">
        <v>131</v>
      </c>
      <c r="E19" s="195" t="s">
        <v>4</v>
      </c>
      <c r="F19" s="196">
        <v>3401</v>
      </c>
      <c r="G19" s="197">
        <f t="shared" si="0"/>
        <v>15823.979999999998</v>
      </c>
      <c r="H19" s="4"/>
      <c r="I19" s="4"/>
    </row>
    <row r="20" spans="1:9" x14ac:dyDescent="0.25">
      <c r="A20" s="175"/>
      <c r="B20" s="91"/>
      <c r="C20" s="161"/>
      <c r="D20" s="2" t="s">
        <v>139</v>
      </c>
      <c r="E20" s="2" t="s">
        <v>15</v>
      </c>
      <c r="F20" s="86">
        <v>-60</v>
      </c>
      <c r="G20" s="3">
        <f t="shared" si="0"/>
        <v>15763.979999999998</v>
      </c>
      <c r="H20" s="4"/>
      <c r="I20" s="4"/>
    </row>
    <row r="21" spans="1:9" x14ac:dyDescent="0.25">
      <c r="A21" s="175"/>
      <c r="B21" s="91"/>
      <c r="C21" s="161"/>
      <c r="D21" s="2" t="s">
        <v>194</v>
      </c>
      <c r="E21" s="2" t="s">
        <v>172</v>
      </c>
      <c r="F21" s="86">
        <v>-2.99</v>
      </c>
      <c r="G21" s="3">
        <f t="shared" si="0"/>
        <v>15760.989999999998</v>
      </c>
      <c r="H21" s="4"/>
      <c r="I21" s="4"/>
    </row>
    <row r="22" spans="1:9" x14ac:dyDescent="0.25">
      <c r="A22" s="175"/>
      <c r="B22" s="91"/>
      <c r="C22" s="161"/>
      <c r="D22" s="2" t="s">
        <v>131</v>
      </c>
      <c r="E22" s="2" t="s">
        <v>178</v>
      </c>
      <c r="F22" s="86">
        <v>-90</v>
      </c>
      <c r="G22" s="3">
        <f t="shared" si="0"/>
        <v>15670.989999999998</v>
      </c>
      <c r="H22" s="4"/>
      <c r="I22" s="4"/>
    </row>
    <row r="23" spans="1:9" x14ac:dyDescent="0.25">
      <c r="A23" s="175"/>
      <c r="B23" s="91"/>
      <c r="C23" s="161"/>
      <c r="D23" s="2" t="s">
        <v>138</v>
      </c>
      <c r="E23" s="2" t="s">
        <v>195</v>
      </c>
      <c r="F23" s="86">
        <v>-29.69</v>
      </c>
      <c r="G23" s="3">
        <f t="shared" si="0"/>
        <v>15641.299999999997</v>
      </c>
      <c r="H23" s="4"/>
      <c r="I23" s="4"/>
    </row>
    <row r="24" spans="1:9" x14ac:dyDescent="0.25">
      <c r="A24" s="175"/>
      <c r="B24" s="91"/>
      <c r="C24" s="161"/>
      <c r="D24" s="2" t="s">
        <v>196</v>
      </c>
      <c r="E24" s="2" t="s">
        <v>197</v>
      </c>
      <c r="F24" s="86">
        <v>-68.25</v>
      </c>
      <c r="G24" s="3">
        <f t="shared" si="0"/>
        <v>15573.049999999997</v>
      </c>
      <c r="H24" s="4"/>
      <c r="I24" s="4"/>
    </row>
    <row r="25" spans="1:9" x14ac:dyDescent="0.25">
      <c r="A25" s="175"/>
      <c r="B25" s="91"/>
      <c r="C25" s="161"/>
      <c r="D25" s="2" t="s">
        <v>132</v>
      </c>
      <c r="E25" s="2" t="s">
        <v>136</v>
      </c>
      <c r="F25" s="86">
        <v>-146.4</v>
      </c>
      <c r="G25" s="3">
        <f t="shared" si="0"/>
        <v>15426.649999999998</v>
      </c>
      <c r="H25" s="4"/>
      <c r="I25" s="4"/>
    </row>
    <row r="26" spans="1:9" x14ac:dyDescent="0.25">
      <c r="A26" s="175"/>
      <c r="B26" s="91"/>
      <c r="C26" s="161"/>
      <c r="D26" s="2" t="s">
        <v>138</v>
      </c>
      <c r="E26" s="2" t="s">
        <v>166</v>
      </c>
      <c r="F26" s="86">
        <v>-247.68</v>
      </c>
      <c r="G26" s="3">
        <f t="shared" si="0"/>
        <v>15178.969999999998</v>
      </c>
      <c r="H26" s="4"/>
      <c r="I26" s="4"/>
    </row>
    <row r="27" spans="1:9" x14ac:dyDescent="0.25">
      <c r="A27" s="175"/>
      <c r="B27" s="91"/>
      <c r="C27" s="161"/>
      <c r="D27" s="2" t="s">
        <v>198</v>
      </c>
      <c r="E27" s="2" t="s">
        <v>199</v>
      </c>
      <c r="F27" s="86">
        <v>-320</v>
      </c>
      <c r="G27" s="3">
        <f t="shared" si="0"/>
        <v>14858.969999999998</v>
      </c>
      <c r="H27" s="4"/>
      <c r="I27" s="4"/>
    </row>
    <row r="28" spans="1:9" x14ac:dyDescent="0.25">
      <c r="A28" s="249"/>
      <c r="B28" s="91"/>
      <c r="C28" s="161"/>
      <c r="D28" s="2" t="s">
        <v>200</v>
      </c>
      <c r="E28" s="2" t="s">
        <v>201</v>
      </c>
      <c r="F28" s="86">
        <v>-27</v>
      </c>
      <c r="G28" s="3">
        <f t="shared" si="0"/>
        <v>14831.969999999998</v>
      </c>
      <c r="H28" s="4"/>
      <c r="I28" s="4"/>
    </row>
    <row r="29" spans="1:9" x14ac:dyDescent="0.25">
      <c r="A29" s="249"/>
      <c r="B29" s="91"/>
      <c r="C29" s="161"/>
      <c r="D29" s="2" t="s">
        <v>193</v>
      </c>
      <c r="E29" s="2" t="s">
        <v>163</v>
      </c>
      <c r="F29" s="86">
        <v>-579.42999999999995</v>
      </c>
      <c r="G29" s="3">
        <f t="shared" si="0"/>
        <v>14252.539999999997</v>
      </c>
      <c r="H29" s="4"/>
      <c r="I29" s="4"/>
    </row>
    <row r="30" spans="1:9" x14ac:dyDescent="0.25">
      <c r="A30" s="249"/>
      <c r="B30" s="91"/>
      <c r="C30" s="161"/>
      <c r="D30" s="2" t="s">
        <v>193</v>
      </c>
      <c r="E30" s="2" t="s">
        <v>163</v>
      </c>
      <c r="F30" s="86">
        <v>-579.42999999999995</v>
      </c>
      <c r="G30" s="3">
        <f t="shared" si="0"/>
        <v>13673.109999999997</v>
      </c>
      <c r="H30" s="4"/>
      <c r="I30" s="4"/>
    </row>
    <row r="31" spans="1:9" s="163" customFormat="1" x14ac:dyDescent="0.25">
      <c r="A31" s="175"/>
      <c r="B31" s="91"/>
      <c r="C31" s="161"/>
      <c r="D31" s="2" t="s">
        <v>182</v>
      </c>
      <c r="E31" s="2" t="s">
        <v>202</v>
      </c>
      <c r="F31" s="86">
        <v>-5016</v>
      </c>
      <c r="G31" s="3">
        <f t="shared" si="0"/>
        <v>8657.1099999999969</v>
      </c>
      <c r="H31" s="162"/>
      <c r="I31" s="162"/>
    </row>
    <row r="32" spans="1:9" x14ac:dyDescent="0.25">
      <c r="A32" s="175"/>
      <c r="B32" s="91"/>
      <c r="C32" s="161"/>
      <c r="D32" s="2" t="s">
        <v>131</v>
      </c>
      <c r="E32" s="2" t="s">
        <v>178</v>
      </c>
      <c r="F32" s="86">
        <v>-65.58</v>
      </c>
      <c r="G32" s="3">
        <f t="shared" si="0"/>
        <v>8591.529999999997</v>
      </c>
      <c r="H32" s="4"/>
      <c r="I32" s="4"/>
    </row>
    <row r="33" spans="1:9" x14ac:dyDescent="0.25">
      <c r="A33" s="250"/>
      <c r="B33" s="91"/>
      <c r="C33" s="161"/>
      <c r="D33" s="2" t="s">
        <v>134</v>
      </c>
      <c r="E33" s="2" t="s">
        <v>181</v>
      </c>
      <c r="F33" s="86">
        <v>-50</v>
      </c>
      <c r="G33" s="3">
        <f t="shared" si="0"/>
        <v>8541.529999999997</v>
      </c>
      <c r="H33" s="4"/>
      <c r="I33" s="4"/>
    </row>
    <row r="34" spans="1:9" x14ac:dyDescent="0.25">
      <c r="A34" s="175"/>
      <c r="B34" s="91"/>
      <c r="C34" s="161"/>
      <c r="D34" s="2" t="s">
        <v>138</v>
      </c>
      <c r="E34" s="2" t="s">
        <v>203</v>
      </c>
      <c r="F34" s="86">
        <v>-247.68</v>
      </c>
      <c r="G34" s="3">
        <f t="shared" si="0"/>
        <v>8293.8499999999967</v>
      </c>
      <c r="H34" s="4"/>
      <c r="I34" s="4"/>
    </row>
    <row r="35" spans="1:9" ht="15.75" thickBot="1" x14ac:dyDescent="0.3">
      <c r="A35" s="204"/>
      <c r="B35" s="198"/>
      <c r="C35" s="199"/>
      <c r="D35" s="200" t="s">
        <v>179</v>
      </c>
      <c r="E35" s="200" t="s">
        <v>180</v>
      </c>
      <c r="F35" s="201">
        <v>-15</v>
      </c>
      <c r="G35" s="202">
        <f t="shared" si="0"/>
        <v>8278.8499999999967</v>
      </c>
      <c r="H35" s="4"/>
      <c r="I35" s="4"/>
    </row>
    <row r="36" spans="1:9" ht="15.75" thickBot="1" x14ac:dyDescent="0.3">
      <c r="A36" s="251" t="s">
        <v>208</v>
      </c>
      <c r="B36" s="239">
        <v>45142</v>
      </c>
      <c r="C36" s="240" t="s">
        <v>158</v>
      </c>
      <c r="D36" s="241" t="s">
        <v>132</v>
      </c>
      <c r="E36" s="241" t="s">
        <v>6</v>
      </c>
      <c r="F36" s="242">
        <v>1156.02</v>
      </c>
      <c r="G36" s="243">
        <f t="shared" si="0"/>
        <v>9434.8699999999972</v>
      </c>
      <c r="H36" s="4"/>
      <c r="I36" s="4"/>
    </row>
    <row r="37" spans="1:9" x14ac:dyDescent="0.25">
      <c r="A37" s="203" t="s">
        <v>218</v>
      </c>
      <c r="B37" s="193">
        <v>45182</v>
      </c>
      <c r="C37" s="194" t="s">
        <v>158</v>
      </c>
      <c r="D37" s="195" t="s">
        <v>139</v>
      </c>
      <c r="E37" s="195" t="s">
        <v>15</v>
      </c>
      <c r="F37" s="196">
        <v>-60</v>
      </c>
      <c r="G37" s="197">
        <f t="shared" si="0"/>
        <v>9374.8699999999972</v>
      </c>
      <c r="H37" s="4"/>
      <c r="I37" s="4"/>
    </row>
    <row r="38" spans="1:9" x14ac:dyDescent="0.25">
      <c r="A38" s="175"/>
      <c r="B38" s="91"/>
      <c r="C38" s="161"/>
      <c r="D38" s="2" t="s">
        <v>138</v>
      </c>
      <c r="E38" s="2" t="s">
        <v>219</v>
      </c>
      <c r="F38" s="86">
        <v>-247.68</v>
      </c>
      <c r="G38" s="3">
        <f t="shared" si="0"/>
        <v>9127.1899999999969</v>
      </c>
      <c r="H38" s="4"/>
      <c r="I38" s="4"/>
    </row>
    <row r="39" spans="1:9" x14ac:dyDescent="0.25">
      <c r="A39" s="175"/>
      <c r="B39" s="91"/>
      <c r="C39" s="161"/>
      <c r="D39" s="2" t="s">
        <v>131</v>
      </c>
      <c r="E39" s="2" t="s">
        <v>220</v>
      </c>
      <c r="F39" s="86">
        <v>-395.58</v>
      </c>
      <c r="G39" s="3">
        <f t="shared" si="0"/>
        <v>8731.6099999999969</v>
      </c>
      <c r="H39" s="4"/>
      <c r="I39" s="4"/>
    </row>
    <row r="40" spans="1:9" x14ac:dyDescent="0.25">
      <c r="A40" s="175"/>
      <c r="B40" s="91">
        <v>45194</v>
      </c>
      <c r="C40" s="161" t="s">
        <v>205</v>
      </c>
      <c r="D40" s="2" t="s">
        <v>221</v>
      </c>
      <c r="E40" s="2" t="s">
        <v>207</v>
      </c>
      <c r="F40" s="86">
        <v>-35</v>
      </c>
      <c r="G40" s="3">
        <f t="shared" si="0"/>
        <v>8696.6099999999969</v>
      </c>
      <c r="H40" s="4"/>
      <c r="I40" s="4"/>
    </row>
    <row r="41" spans="1:9" ht="15.75" thickBot="1" x14ac:dyDescent="0.3">
      <c r="A41" s="204"/>
      <c r="B41" s="198">
        <v>45198</v>
      </c>
      <c r="C41" s="199" t="s">
        <v>158</v>
      </c>
      <c r="D41" s="200" t="s">
        <v>198</v>
      </c>
      <c r="E41" s="200" t="s">
        <v>217</v>
      </c>
      <c r="F41" s="201">
        <v>4180</v>
      </c>
      <c r="G41" s="202">
        <f t="shared" si="0"/>
        <v>12876.609999999997</v>
      </c>
      <c r="H41" s="4"/>
      <c r="I41" s="4"/>
    </row>
    <row r="42" spans="1:9" x14ac:dyDescent="0.25">
      <c r="A42" s="203" t="s">
        <v>224</v>
      </c>
      <c r="B42" s="193">
        <v>45204</v>
      </c>
      <c r="C42" s="194" t="s">
        <v>158</v>
      </c>
      <c r="D42" s="195" t="s">
        <v>138</v>
      </c>
      <c r="E42" s="195" t="s">
        <v>225</v>
      </c>
      <c r="F42" s="196">
        <v>-265.68</v>
      </c>
      <c r="G42" s="197">
        <f t="shared" si="0"/>
        <v>12610.929999999997</v>
      </c>
      <c r="H42" s="4"/>
      <c r="I42" s="4"/>
    </row>
    <row r="43" spans="1:9" x14ac:dyDescent="0.25">
      <c r="A43" s="175"/>
      <c r="B43" s="91"/>
      <c r="C43" s="161" t="s">
        <v>158</v>
      </c>
      <c r="D43" s="2" t="s">
        <v>226</v>
      </c>
      <c r="E43" s="2" t="s">
        <v>211</v>
      </c>
      <c r="F43" s="86">
        <v>-21.99</v>
      </c>
      <c r="G43" s="3">
        <f t="shared" si="0"/>
        <v>12588.939999999997</v>
      </c>
      <c r="H43" s="4"/>
      <c r="I43" s="4"/>
    </row>
    <row r="44" spans="1:9" x14ac:dyDescent="0.25">
      <c r="A44" s="175"/>
      <c r="B44" s="91"/>
      <c r="C44" s="161" t="s">
        <v>158</v>
      </c>
      <c r="D44" s="2" t="s">
        <v>131</v>
      </c>
      <c r="E44" s="2" t="s">
        <v>178</v>
      </c>
      <c r="F44" s="86">
        <v>-65.58</v>
      </c>
      <c r="G44" s="3">
        <f t="shared" si="0"/>
        <v>12523.359999999997</v>
      </c>
      <c r="H44" s="4"/>
      <c r="I44" s="4"/>
    </row>
    <row r="45" spans="1:9" ht="15.75" thickBot="1" x14ac:dyDescent="0.3">
      <c r="A45" s="204"/>
      <c r="B45" s="198"/>
      <c r="C45" s="199" t="s">
        <v>158</v>
      </c>
      <c r="D45" s="200" t="s">
        <v>132</v>
      </c>
      <c r="E45" s="200" t="s">
        <v>136</v>
      </c>
      <c r="F45" s="201">
        <v>-128.4</v>
      </c>
      <c r="G45" s="202">
        <f t="shared" si="0"/>
        <v>12394.959999999997</v>
      </c>
      <c r="H45" s="4"/>
      <c r="I45" s="4"/>
    </row>
    <row r="46" spans="1:9" x14ac:dyDescent="0.25">
      <c r="A46" s="203" t="s">
        <v>242</v>
      </c>
      <c r="B46" s="193">
        <v>45245</v>
      </c>
      <c r="C46" s="194" t="s">
        <v>158</v>
      </c>
      <c r="D46" s="195" t="s">
        <v>139</v>
      </c>
      <c r="E46" s="195" t="s">
        <v>15</v>
      </c>
      <c r="F46" s="196">
        <v>-60</v>
      </c>
      <c r="G46" s="197">
        <f t="shared" si="0"/>
        <v>12334.959999999997</v>
      </c>
      <c r="H46" s="4"/>
      <c r="I46" s="4"/>
    </row>
    <row r="47" spans="1:9" x14ac:dyDescent="0.25">
      <c r="A47" s="175"/>
      <c r="B47" s="91"/>
      <c r="C47" s="161" t="s">
        <v>158</v>
      </c>
      <c r="D47" s="2" t="s">
        <v>138</v>
      </c>
      <c r="E47" s="2" t="s">
        <v>243</v>
      </c>
      <c r="F47" s="86">
        <v>-250.68</v>
      </c>
      <c r="G47" s="3">
        <f t="shared" si="0"/>
        <v>12084.279999999997</v>
      </c>
      <c r="H47" s="4"/>
      <c r="I47" s="4"/>
    </row>
    <row r="48" spans="1:9" x14ac:dyDescent="0.25">
      <c r="A48" s="175"/>
      <c r="B48" s="91"/>
      <c r="C48" s="161" t="s">
        <v>158</v>
      </c>
      <c r="D48" s="2" t="s">
        <v>131</v>
      </c>
      <c r="E48" s="2" t="s">
        <v>178</v>
      </c>
      <c r="F48" s="86">
        <v>-65.58</v>
      </c>
      <c r="G48" s="3">
        <f t="shared" si="0"/>
        <v>12018.699999999997</v>
      </c>
      <c r="H48" s="4"/>
      <c r="I48" s="4"/>
    </row>
    <row r="49" spans="1:9" x14ac:dyDescent="0.25">
      <c r="A49" s="175"/>
      <c r="B49" s="91"/>
      <c r="C49" s="161" t="s">
        <v>158</v>
      </c>
      <c r="D49" s="2" t="s">
        <v>131</v>
      </c>
      <c r="E49" s="2" t="s">
        <v>190</v>
      </c>
      <c r="F49" s="86">
        <v>-399.18</v>
      </c>
      <c r="G49" s="3">
        <f t="shared" si="0"/>
        <v>11619.519999999997</v>
      </c>
      <c r="H49" s="4"/>
      <c r="I49" s="4"/>
    </row>
    <row r="50" spans="1:9" ht="15.75" thickBot="1" x14ac:dyDescent="0.3">
      <c r="A50" s="204"/>
      <c r="B50" s="198"/>
      <c r="C50" s="199" t="s">
        <v>158</v>
      </c>
      <c r="D50" s="200" t="s">
        <v>138</v>
      </c>
      <c r="E50" s="200" t="s">
        <v>244</v>
      </c>
      <c r="F50" s="201">
        <v>-375.56</v>
      </c>
      <c r="G50" s="202">
        <f t="shared" si="0"/>
        <v>11243.959999999997</v>
      </c>
      <c r="H50" s="4"/>
      <c r="I50" s="4"/>
    </row>
    <row r="51" spans="1:9" ht="15.75" thickBot="1" x14ac:dyDescent="0.3">
      <c r="A51" s="251" t="s">
        <v>245</v>
      </c>
      <c r="B51" s="239">
        <v>45273</v>
      </c>
      <c r="C51" s="240" t="s">
        <v>158</v>
      </c>
      <c r="D51" s="241" t="s">
        <v>131</v>
      </c>
      <c r="E51" s="241" t="s">
        <v>246</v>
      </c>
      <c r="F51" s="242">
        <v>-65.58</v>
      </c>
      <c r="G51" s="243">
        <f t="shared" si="0"/>
        <v>11178.379999999997</v>
      </c>
      <c r="H51" s="4"/>
      <c r="I51" s="4"/>
    </row>
    <row r="52" spans="1:9" x14ac:dyDescent="0.25">
      <c r="A52" s="203" t="s">
        <v>266</v>
      </c>
      <c r="B52" s="193">
        <v>45301</v>
      </c>
      <c r="C52" s="194" t="s">
        <v>158</v>
      </c>
      <c r="D52" s="195" t="s">
        <v>139</v>
      </c>
      <c r="E52" s="195" t="s">
        <v>15</v>
      </c>
      <c r="F52" s="196">
        <v>-60</v>
      </c>
      <c r="G52" s="197">
        <f t="shared" si="0"/>
        <v>11118.379999999997</v>
      </c>
      <c r="H52" s="4"/>
      <c r="I52" s="4"/>
    </row>
    <row r="53" spans="1:9" x14ac:dyDescent="0.25">
      <c r="A53" s="203"/>
      <c r="B53" s="193"/>
      <c r="C53" s="194" t="s">
        <v>158</v>
      </c>
      <c r="D53" s="195" t="s">
        <v>138</v>
      </c>
      <c r="E53" s="195" t="s">
        <v>267</v>
      </c>
      <c r="F53" s="196">
        <v>-264.62</v>
      </c>
      <c r="G53" s="197">
        <f t="shared" si="0"/>
        <v>10853.759999999997</v>
      </c>
      <c r="H53" s="4"/>
      <c r="I53" s="4"/>
    </row>
    <row r="54" spans="1:9" x14ac:dyDescent="0.25">
      <c r="A54" s="203"/>
      <c r="B54" s="193"/>
      <c r="C54" s="194" t="s">
        <v>158</v>
      </c>
      <c r="D54" s="195" t="s">
        <v>193</v>
      </c>
      <c r="E54" s="195" t="s">
        <v>163</v>
      </c>
      <c r="F54" s="196">
        <v>-1738.3</v>
      </c>
      <c r="G54" s="197">
        <f t="shared" si="0"/>
        <v>9115.4599999999973</v>
      </c>
      <c r="H54" s="4"/>
      <c r="I54" s="4"/>
    </row>
    <row r="55" spans="1:9" x14ac:dyDescent="0.25">
      <c r="A55" s="203"/>
      <c r="B55" s="193"/>
      <c r="C55" s="194" t="s">
        <v>158</v>
      </c>
      <c r="D55" s="195" t="s">
        <v>132</v>
      </c>
      <c r="E55" s="195" t="s">
        <v>136</v>
      </c>
      <c r="F55" s="196">
        <v>-172</v>
      </c>
      <c r="G55" s="197">
        <f t="shared" si="0"/>
        <v>8943.4599999999973</v>
      </c>
      <c r="H55" s="4"/>
      <c r="I55" s="4"/>
    </row>
    <row r="56" spans="1:9" x14ac:dyDescent="0.25">
      <c r="A56" s="203"/>
      <c r="B56" s="193">
        <v>45308</v>
      </c>
      <c r="C56" s="194" t="s">
        <v>158</v>
      </c>
      <c r="D56" s="195" t="s">
        <v>132</v>
      </c>
      <c r="E56" s="195" t="s">
        <v>6</v>
      </c>
      <c r="F56" s="196">
        <v>447.71</v>
      </c>
      <c r="G56" s="197">
        <f t="shared" si="0"/>
        <v>9391.1699999999964</v>
      </c>
      <c r="H56" s="4"/>
      <c r="I56" s="4"/>
    </row>
    <row r="57" spans="1:9" x14ac:dyDescent="0.25">
      <c r="A57" s="203"/>
      <c r="B57" s="193">
        <v>45323</v>
      </c>
      <c r="C57" s="194" t="s">
        <v>158</v>
      </c>
      <c r="D57" s="195" t="s">
        <v>138</v>
      </c>
      <c r="E57" s="195" t="s">
        <v>268</v>
      </c>
      <c r="F57" s="196">
        <v>-515.44000000000005</v>
      </c>
      <c r="G57" s="197">
        <f t="shared" si="0"/>
        <v>8875.7299999999959</v>
      </c>
      <c r="H57" s="4"/>
      <c r="I57" s="4"/>
    </row>
    <row r="58" spans="1:9" ht="15.75" thickBot="1" x14ac:dyDescent="0.3">
      <c r="A58" s="204"/>
      <c r="B58" s="198"/>
      <c r="C58" s="199" t="s">
        <v>158</v>
      </c>
      <c r="D58" s="200" t="s">
        <v>131</v>
      </c>
      <c r="E58" s="200" t="s">
        <v>246</v>
      </c>
      <c r="F58" s="201">
        <v>-65.58</v>
      </c>
      <c r="G58" s="202">
        <f t="shared" si="0"/>
        <v>8810.149999999996</v>
      </c>
      <c r="H58" s="4"/>
      <c r="I58" s="4"/>
    </row>
    <row r="59" spans="1:9" ht="15.75" thickBot="1" x14ac:dyDescent="0.3">
      <c r="A59" s="251" t="s">
        <v>271</v>
      </c>
      <c r="B59" s="239">
        <v>45337</v>
      </c>
      <c r="C59" s="240" t="s">
        <v>158</v>
      </c>
      <c r="D59" s="241" t="s">
        <v>198</v>
      </c>
      <c r="E59" s="241" t="s">
        <v>269</v>
      </c>
      <c r="F59" s="242">
        <v>644</v>
      </c>
      <c r="G59" s="243">
        <f t="shared" si="0"/>
        <v>9454.149999999996</v>
      </c>
      <c r="H59" s="4"/>
      <c r="I59" s="4"/>
    </row>
    <row r="60" spans="1:9" ht="15.75" thickBot="1" x14ac:dyDescent="0.3">
      <c r="A60" s="203" t="s">
        <v>276</v>
      </c>
      <c r="B60" s="193">
        <v>45364</v>
      </c>
      <c r="C60" s="194" t="s">
        <v>158</v>
      </c>
      <c r="D60" s="195" t="s">
        <v>131</v>
      </c>
      <c r="E60" s="195" t="s">
        <v>277</v>
      </c>
      <c r="F60" s="196">
        <v>-141.65</v>
      </c>
      <c r="G60" s="243">
        <f t="shared" si="0"/>
        <v>9312.4999999999964</v>
      </c>
      <c r="H60" s="4"/>
      <c r="I60" s="4"/>
    </row>
    <row r="61" spans="1:9" ht="15.75" thickBot="1" x14ac:dyDescent="0.3">
      <c r="A61" s="203"/>
      <c r="B61" s="193"/>
      <c r="C61" s="194"/>
      <c r="D61" s="195" t="s">
        <v>138</v>
      </c>
      <c r="E61" s="195" t="s">
        <v>258</v>
      </c>
      <c r="F61" s="196">
        <v>-113.4</v>
      </c>
      <c r="G61" s="243">
        <f t="shared" si="0"/>
        <v>9199.0999999999967</v>
      </c>
      <c r="H61" s="4"/>
      <c r="I61" s="4"/>
    </row>
    <row r="62" spans="1:9" ht="15.75" thickBot="1" x14ac:dyDescent="0.3">
      <c r="A62" s="203"/>
      <c r="B62" s="193"/>
      <c r="C62" s="194"/>
      <c r="D62" s="195" t="s">
        <v>131</v>
      </c>
      <c r="E62" s="195" t="s">
        <v>246</v>
      </c>
      <c r="F62" s="196">
        <v>-65.58</v>
      </c>
      <c r="G62" s="243">
        <f t="shared" si="0"/>
        <v>9133.5199999999968</v>
      </c>
      <c r="H62" s="4"/>
      <c r="I62" s="4"/>
    </row>
    <row r="63" spans="1:9" ht="15.75" thickBot="1" x14ac:dyDescent="0.3">
      <c r="A63" s="203"/>
      <c r="B63" s="193"/>
      <c r="C63" s="194"/>
      <c r="D63" s="195" t="s">
        <v>131</v>
      </c>
      <c r="E63" s="195" t="s">
        <v>246</v>
      </c>
      <c r="F63" s="196">
        <v>-65.58</v>
      </c>
      <c r="G63" s="243">
        <f t="shared" si="0"/>
        <v>9067.9399999999969</v>
      </c>
      <c r="H63" s="4"/>
      <c r="I63" s="4"/>
    </row>
    <row r="64" spans="1:9" ht="15.75" thickBot="1" x14ac:dyDescent="0.3">
      <c r="A64" s="203"/>
      <c r="B64" s="193"/>
      <c r="C64" s="194"/>
      <c r="D64" s="195" t="s">
        <v>138</v>
      </c>
      <c r="E64" s="195" t="s">
        <v>278</v>
      </c>
      <c r="F64" s="196">
        <v>-264.62</v>
      </c>
      <c r="G64" s="243">
        <f t="shared" si="0"/>
        <v>8803.3199999999961</v>
      </c>
      <c r="H64" s="4"/>
      <c r="I64" s="4"/>
    </row>
    <row r="65" spans="1:9" ht="15.75" thickBot="1" x14ac:dyDescent="0.3">
      <c r="A65" s="203"/>
      <c r="B65" s="193"/>
      <c r="C65" s="194"/>
      <c r="D65" s="195" t="s">
        <v>200</v>
      </c>
      <c r="E65" s="195" t="s">
        <v>201</v>
      </c>
      <c r="F65" s="196">
        <v>-10</v>
      </c>
      <c r="G65" s="243">
        <f t="shared" si="0"/>
        <v>8793.3199999999961</v>
      </c>
      <c r="H65" s="4"/>
      <c r="I65" s="4"/>
    </row>
    <row r="66" spans="1:9" ht="15.75" thickBot="1" x14ac:dyDescent="0.3">
      <c r="A66" s="175"/>
      <c r="B66" s="91"/>
      <c r="C66" s="161"/>
      <c r="D66" s="2" t="s">
        <v>139</v>
      </c>
      <c r="E66" s="2" t="s">
        <v>15</v>
      </c>
      <c r="F66" s="86">
        <v>-60</v>
      </c>
      <c r="G66" s="243">
        <f t="shared" si="0"/>
        <v>8733.3199999999961</v>
      </c>
      <c r="H66" s="4"/>
      <c r="I66" s="4"/>
    </row>
    <row r="67" spans="1:9" ht="15.75" thickBot="1" x14ac:dyDescent="0.3">
      <c r="A67" s="175"/>
      <c r="B67" s="91"/>
      <c r="C67" s="161"/>
      <c r="D67" s="2" t="s">
        <v>131</v>
      </c>
      <c r="E67" s="2" t="s">
        <v>279</v>
      </c>
      <c r="F67" s="86">
        <v>1842.15</v>
      </c>
      <c r="G67" s="243">
        <f t="shared" si="0"/>
        <v>10575.469999999996</v>
      </c>
      <c r="H67" s="4"/>
      <c r="I67" s="4"/>
    </row>
    <row r="68" spans="1:9" ht="15.75" thickBot="1" x14ac:dyDescent="0.3">
      <c r="A68" s="175"/>
      <c r="B68" s="91"/>
      <c r="C68" s="161"/>
      <c r="D68" s="2"/>
      <c r="E68" s="2"/>
      <c r="F68" s="86"/>
      <c r="G68" s="243"/>
      <c r="H68" s="4"/>
      <c r="I68" s="4"/>
    </row>
    <row r="69" spans="1:9" ht="15.75" thickBot="1" x14ac:dyDescent="0.3">
      <c r="A69" s="175"/>
      <c r="B69" s="91"/>
      <c r="C69" s="161"/>
      <c r="D69" s="2"/>
      <c r="E69" s="2"/>
      <c r="F69" s="86"/>
      <c r="G69" s="243"/>
      <c r="H69" s="4"/>
      <c r="I69" s="4"/>
    </row>
    <row r="70" spans="1:9" x14ac:dyDescent="0.25">
      <c r="A70" s="164"/>
      <c r="B70" s="165"/>
      <c r="C70" s="166"/>
      <c r="D70" s="167"/>
      <c r="E70" s="167"/>
      <c r="F70" s="168"/>
      <c r="G70" s="3"/>
      <c r="H70" s="4"/>
      <c r="I70" s="4"/>
    </row>
    <row r="71" spans="1:9" x14ac:dyDescent="0.25">
      <c r="A71" s="252"/>
      <c r="B71" s="92"/>
      <c r="C71" s="15"/>
      <c r="D71" s="16"/>
      <c r="E71" s="16"/>
      <c r="F71" s="87" t="s">
        <v>23</v>
      </c>
      <c r="G71" s="3">
        <f>G67</f>
        <v>10575.469999999996</v>
      </c>
    </row>
    <row r="72" spans="1:9" x14ac:dyDescent="0.25">
      <c r="G72" s="17"/>
    </row>
  </sheetData>
  <pageMargins left="0.7" right="0.7" top="0.75" bottom="0.75" header="0.3" footer="0.3"/>
  <pageSetup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69"/>
  <sheetViews>
    <sheetView topLeftCell="A49" workbookViewId="0">
      <selection activeCell="D66" sqref="D66"/>
    </sheetView>
  </sheetViews>
  <sheetFormatPr defaultColWidth="10" defaultRowHeight="15" x14ac:dyDescent="0.25"/>
  <cols>
    <col min="1" max="1" width="10.28515625" bestFit="1" customWidth="1"/>
    <col min="2" max="2" width="42" customWidth="1"/>
    <col min="3" max="3" width="12.140625" customWidth="1"/>
    <col min="4" max="4" width="43.28515625" customWidth="1"/>
    <col min="5" max="5" width="14.5703125" customWidth="1"/>
    <col min="6" max="6" width="12.140625" hidden="1" customWidth="1"/>
    <col min="8" max="8" width="19.42578125" customWidth="1"/>
    <col min="9" max="9" width="18.28515625" customWidth="1"/>
  </cols>
  <sheetData>
    <row r="1" spans="1:7" ht="20.25" x14ac:dyDescent="0.3">
      <c r="A1" s="18"/>
      <c r="B1" s="19" t="s">
        <v>24</v>
      </c>
      <c r="C1" s="20"/>
      <c r="D1" s="20"/>
      <c r="E1" s="20"/>
      <c r="F1" s="20"/>
      <c r="G1" s="20"/>
    </row>
    <row r="2" spans="1:7" ht="20.25" x14ac:dyDescent="0.3">
      <c r="A2" s="18"/>
      <c r="B2" s="19"/>
      <c r="C2" s="20"/>
      <c r="D2" s="20"/>
      <c r="E2" s="20"/>
      <c r="F2" s="20"/>
      <c r="G2" s="20"/>
    </row>
    <row r="3" spans="1:7" ht="18" x14ac:dyDescent="0.25">
      <c r="A3" s="18"/>
      <c r="B3" s="21" t="s">
        <v>128</v>
      </c>
      <c r="C3" s="22"/>
      <c r="D3" s="22"/>
      <c r="E3" s="22"/>
      <c r="F3" s="22"/>
      <c r="G3" s="22"/>
    </row>
    <row r="4" spans="1:7" ht="18" x14ac:dyDescent="0.25">
      <c r="A4" s="18"/>
      <c r="B4" s="21"/>
      <c r="C4" s="22"/>
      <c r="D4" s="22"/>
      <c r="E4" s="22"/>
      <c r="F4" s="22"/>
      <c r="G4" s="22"/>
    </row>
    <row r="5" spans="1:7" ht="18.75" thickBot="1" x14ac:dyDescent="0.3">
      <c r="A5" s="18"/>
      <c r="B5" s="23" t="s">
        <v>25</v>
      </c>
      <c r="C5" s="18"/>
      <c r="D5" s="18"/>
      <c r="E5" s="18"/>
      <c r="F5" s="18"/>
      <c r="G5" s="18"/>
    </row>
    <row r="6" spans="1:7" ht="51.75" x14ac:dyDescent="0.25">
      <c r="A6" s="18"/>
      <c r="B6" s="18"/>
      <c r="C6" s="158" t="s">
        <v>129</v>
      </c>
      <c r="D6" s="45" t="s">
        <v>45</v>
      </c>
      <c r="E6" s="42" t="s">
        <v>82</v>
      </c>
      <c r="F6" s="46" t="s">
        <v>47</v>
      </c>
      <c r="G6" s="18"/>
    </row>
    <row r="7" spans="1:7" x14ac:dyDescent="0.25">
      <c r="A7" s="18"/>
      <c r="B7" s="18"/>
      <c r="C7" s="47" t="s">
        <v>26</v>
      </c>
      <c r="D7" s="43"/>
      <c r="E7" s="44" t="s">
        <v>26</v>
      </c>
      <c r="F7" s="48" t="s">
        <v>46</v>
      </c>
      <c r="G7" s="18"/>
    </row>
    <row r="8" spans="1:7" x14ac:dyDescent="0.25">
      <c r="A8" s="18"/>
      <c r="B8" s="18"/>
      <c r="C8" s="49">
        <v>5802</v>
      </c>
      <c r="D8" s="25" t="s">
        <v>4</v>
      </c>
      <c r="E8" s="26">
        <f>'Income and Expenditure'!F14</f>
        <v>6802</v>
      </c>
      <c r="F8" s="50">
        <f>(E8-C8)/C8</f>
        <v>0.1723543605653223</v>
      </c>
      <c r="G8" s="27"/>
    </row>
    <row r="9" spans="1:7" x14ac:dyDescent="0.25">
      <c r="A9" s="18"/>
      <c r="B9" s="18"/>
      <c r="C9" s="49">
        <v>1842.15</v>
      </c>
      <c r="D9" s="25" t="s">
        <v>43</v>
      </c>
      <c r="E9" s="104">
        <f>'Income and Expenditure'!L14</f>
        <v>1842.15</v>
      </c>
      <c r="F9" s="50">
        <f t="shared" ref="F9:F11" si="0">(E9-C9)/C9</f>
        <v>0</v>
      </c>
      <c r="G9" s="27"/>
    </row>
    <row r="10" spans="1:7" x14ac:dyDescent="0.25">
      <c r="A10" s="18"/>
      <c r="B10" s="18"/>
      <c r="C10" s="208">
        <v>164</v>
      </c>
      <c r="D10" s="18" t="s">
        <v>5</v>
      </c>
      <c r="E10" s="29">
        <f>'Income and Expenditure'!G14</f>
        <v>164</v>
      </c>
      <c r="F10" s="50">
        <f t="shared" si="0"/>
        <v>0</v>
      </c>
      <c r="G10" s="27"/>
    </row>
    <row r="11" spans="1:7" x14ac:dyDescent="0.25">
      <c r="A11" s="18"/>
      <c r="B11" s="18"/>
      <c r="C11" s="49">
        <v>1394</v>
      </c>
      <c r="D11" s="25" t="s">
        <v>27</v>
      </c>
      <c r="E11" s="29">
        <f>'Income and Expenditure'!I14</f>
        <v>4824</v>
      </c>
      <c r="F11" s="50">
        <f t="shared" si="0"/>
        <v>2.4605451936872309</v>
      </c>
      <c r="G11" s="27"/>
    </row>
    <row r="12" spans="1:7" x14ac:dyDescent="0.25">
      <c r="A12" s="18"/>
      <c r="B12" s="18"/>
      <c r="C12" s="49">
        <v>100</v>
      </c>
      <c r="D12" s="25" t="s">
        <v>76</v>
      </c>
      <c r="E12" s="29">
        <f>'Income and Expenditure'!K14</f>
        <v>0</v>
      </c>
      <c r="F12" s="50" t="s">
        <v>22</v>
      </c>
      <c r="G12" s="27"/>
    </row>
    <row r="13" spans="1:7" x14ac:dyDescent="0.25">
      <c r="A13" s="18"/>
      <c r="B13" s="18"/>
      <c r="C13" s="49">
        <v>41.36</v>
      </c>
      <c r="D13" s="25" t="s">
        <v>116</v>
      </c>
      <c r="E13" s="55">
        <f>'Income and Expenditure'!J14</f>
        <v>0</v>
      </c>
      <c r="F13" s="50" t="s">
        <v>22</v>
      </c>
      <c r="G13" s="27"/>
    </row>
    <row r="14" spans="1:7" x14ac:dyDescent="0.25">
      <c r="A14" s="18"/>
      <c r="B14" s="18"/>
      <c r="C14" s="49">
        <v>1040.5</v>
      </c>
      <c r="D14" s="25" t="s">
        <v>6</v>
      </c>
      <c r="E14" s="104">
        <f>'Income and Expenditure'!H14</f>
        <v>1603.73</v>
      </c>
      <c r="F14" s="50" t="s">
        <v>22</v>
      </c>
      <c r="G14" s="27"/>
    </row>
    <row r="15" spans="1:7" x14ac:dyDescent="0.25">
      <c r="A15" s="18"/>
      <c r="B15" s="18"/>
      <c r="C15" s="49"/>
      <c r="D15" s="25"/>
      <c r="E15" s="29"/>
      <c r="F15" s="50" t="s">
        <v>22</v>
      </c>
      <c r="G15" s="27"/>
    </row>
    <row r="16" spans="1:7" ht="15.75" thickBot="1" x14ac:dyDescent="0.3">
      <c r="A16" s="18"/>
      <c r="B16" s="18"/>
      <c r="C16" s="51">
        <f>SUM(C8:C15)</f>
        <v>10384.01</v>
      </c>
      <c r="D16" s="52" t="s">
        <v>28</v>
      </c>
      <c r="E16" s="53">
        <f>SUM(E8:E15)</f>
        <v>15235.88</v>
      </c>
      <c r="F16" s="54">
        <f t="shared" ref="F16" si="1">(E16-C16)/C16</f>
        <v>0.46724434972616541</v>
      </c>
      <c r="G16" s="18"/>
    </row>
    <row r="17" spans="1:7" ht="15.75" x14ac:dyDescent="0.3">
      <c r="A17" s="18"/>
      <c r="C17" s="18"/>
      <c r="D17" s="18"/>
      <c r="E17" s="18"/>
      <c r="F17" s="30"/>
      <c r="G17" s="18"/>
    </row>
    <row r="18" spans="1:7" ht="18.75" thickBot="1" x14ac:dyDescent="0.3">
      <c r="A18" s="18"/>
      <c r="B18" s="23" t="s">
        <v>29</v>
      </c>
      <c r="C18" s="18"/>
      <c r="D18" s="18"/>
      <c r="E18" s="18"/>
      <c r="F18" s="32"/>
      <c r="G18" s="18"/>
    </row>
    <row r="19" spans="1:7" ht="51.75" x14ac:dyDescent="0.25">
      <c r="A19" s="18"/>
      <c r="B19" s="18"/>
      <c r="C19" s="158" t="s">
        <v>129</v>
      </c>
      <c r="D19" s="45" t="s">
        <v>42</v>
      </c>
      <c r="E19" s="42" t="s">
        <v>82</v>
      </c>
      <c r="F19" s="46" t="s">
        <v>47</v>
      </c>
      <c r="G19" s="33"/>
    </row>
    <row r="20" spans="1:7" x14ac:dyDescent="0.25">
      <c r="A20" s="18"/>
      <c r="B20" s="18"/>
      <c r="C20" s="47" t="s">
        <v>26</v>
      </c>
      <c r="D20" s="43"/>
      <c r="E20" s="43" t="s">
        <v>26</v>
      </c>
      <c r="F20" s="48" t="s">
        <v>46</v>
      </c>
      <c r="G20" s="27"/>
    </row>
    <row r="21" spans="1:7" x14ac:dyDescent="0.25">
      <c r="A21" s="18"/>
      <c r="B21" s="18"/>
      <c r="C21" s="208">
        <v>78.540000000000006</v>
      </c>
      <c r="D21" s="25" t="s">
        <v>48</v>
      </c>
      <c r="E21" s="29">
        <f>'Income and Expenditure'!H76</f>
        <v>91.65</v>
      </c>
      <c r="F21" s="50">
        <f>(E21-C21)/C21</f>
        <v>0.16692131398013749</v>
      </c>
      <c r="G21" s="27"/>
    </row>
    <row r="22" spans="1:7" x14ac:dyDescent="0.25">
      <c r="A22" s="18"/>
      <c r="B22" s="18"/>
      <c r="C22" s="208"/>
      <c r="D22" s="25" t="s">
        <v>30</v>
      </c>
      <c r="E22" s="29">
        <f>'Income and Expenditure'!I76</f>
        <v>0</v>
      </c>
      <c r="F22" s="50" t="e">
        <f t="shared" ref="F22:F39" si="2">(E22-C22)/C22</f>
        <v>#DIV/0!</v>
      </c>
      <c r="G22" s="27"/>
    </row>
    <row r="23" spans="1:7" x14ac:dyDescent="0.25">
      <c r="A23" s="18"/>
      <c r="B23" s="18"/>
      <c r="C23" s="208">
        <v>3580.14</v>
      </c>
      <c r="D23" s="25" t="s">
        <v>79</v>
      </c>
      <c r="E23" s="29">
        <f>'Income and Expenditure'!J76</f>
        <v>3992.48</v>
      </c>
      <c r="F23" s="50">
        <f t="shared" si="2"/>
        <v>0.115174266928109</v>
      </c>
      <c r="G23" s="27"/>
    </row>
    <row r="24" spans="1:7" x14ac:dyDescent="0.25">
      <c r="A24" s="18"/>
      <c r="B24" s="18"/>
      <c r="C24" s="208">
        <v>360</v>
      </c>
      <c r="D24" s="25" t="s">
        <v>15</v>
      </c>
      <c r="E24" s="29">
        <f>'Income and Expenditure'!K76</f>
        <v>362.49</v>
      </c>
      <c r="F24" s="50">
        <f t="shared" si="2"/>
        <v>6.9166666666666916E-3</v>
      </c>
      <c r="G24" s="27"/>
    </row>
    <row r="25" spans="1:7" x14ac:dyDescent="0.25">
      <c r="A25" s="18"/>
      <c r="B25" s="18"/>
      <c r="C25" s="208">
        <v>453.74</v>
      </c>
      <c r="D25" s="25" t="s">
        <v>13</v>
      </c>
      <c r="E25" s="29">
        <f>'Income and Expenditure'!M76</f>
        <v>432.58</v>
      </c>
      <c r="F25" s="50">
        <f t="shared" si="2"/>
        <v>-4.6634636576012752E-2</v>
      </c>
      <c r="G25" s="27"/>
    </row>
    <row r="26" spans="1:7" x14ac:dyDescent="0.25">
      <c r="A26" s="18"/>
      <c r="B26" s="18"/>
      <c r="C26" s="208">
        <v>4820</v>
      </c>
      <c r="D26" s="25" t="s">
        <v>58</v>
      </c>
      <c r="E26" s="29">
        <f>'Income and Expenditure'!G76</f>
        <v>3217.16</v>
      </c>
      <c r="F26" s="50">
        <f t="shared" si="2"/>
        <v>-0.33253941908713697</v>
      </c>
      <c r="G26" s="27"/>
    </row>
    <row r="27" spans="1:7" x14ac:dyDescent="0.25">
      <c r="A27" s="18"/>
      <c r="B27" s="18"/>
      <c r="C27" s="208"/>
      <c r="D27" s="25" t="s">
        <v>285</v>
      </c>
      <c r="E27" s="29">
        <f>'Income and Expenditure'!L76</f>
        <v>1119.8499999999999</v>
      </c>
      <c r="F27" s="50" t="e">
        <f t="shared" si="2"/>
        <v>#DIV/0!</v>
      </c>
      <c r="G27" s="27"/>
    </row>
    <row r="28" spans="1:7" x14ac:dyDescent="0.25">
      <c r="A28" s="18"/>
      <c r="B28" s="18"/>
      <c r="C28" s="208">
        <v>943.23</v>
      </c>
      <c r="D28" s="25" t="s">
        <v>44</v>
      </c>
      <c r="E28" s="29">
        <f>'Income and Expenditure'!F76</f>
        <v>1671.0600000000004</v>
      </c>
      <c r="F28" s="50">
        <f t="shared" si="2"/>
        <v>0.77163576222130381</v>
      </c>
      <c r="G28" s="27"/>
    </row>
    <row r="29" spans="1:7" x14ac:dyDescent="0.25">
      <c r="A29" s="18"/>
      <c r="B29" s="18"/>
      <c r="C29" s="208">
        <v>13.6</v>
      </c>
      <c r="D29" s="25" t="s">
        <v>14</v>
      </c>
      <c r="E29" s="29">
        <f>'Income and Expenditure'!N76</f>
        <v>18.32</v>
      </c>
      <c r="F29" s="50">
        <f t="shared" si="2"/>
        <v>0.34705882352941181</v>
      </c>
      <c r="G29" s="27"/>
    </row>
    <row r="30" spans="1:7" x14ac:dyDescent="0.25">
      <c r="A30" s="18"/>
      <c r="B30" s="18"/>
      <c r="C30" s="208">
        <v>191.15</v>
      </c>
      <c r="D30" s="25" t="s">
        <v>94</v>
      </c>
      <c r="E30" s="29">
        <f>'Income and Expenditure'!O76</f>
        <v>220.53</v>
      </c>
      <c r="F30" s="50">
        <f t="shared" si="2"/>
        <v>0.15370128171592987</v>
      </c>
      <c r="G30" s="27"/>
    </row>
    <row r="31" spans="1:7" x14ac:dyDescent="0.25">
      <c r="A31" s="18"/>
      <c r="B31" s="18"/>
      <c r="C31" s="209">
        <v>108.61</v>
      </c>
      <c r="D31" s="95" t="s">
        <v>59</v>
      </c>
      <c r="E31" s="171">
        <f>'Income and Expenditure'!W76</f>
        <v>186.81</v>
      </c>
      <c r="F31" s="96" t="s">
        <v>22</v>
      </c>
      <c r="G31" s="27"/>
    </row>
    <row r="32" spans="1:7" x14ac:dyDescent="0.25">
      <c r="A32" s="18"/>
      <c r="B32" s="18"/>
      <c r="C32" s="209">
        <v>90</v>
      </c>
      <c r="D32" s="95" t="s">
        <v>96</v>
      </c>
      <c r="E32" s="171">
        <f>'Income and Expenditure'!R76</f>
        <v>90</v>
      </c>
      <c r="F32" s="96"/>
      <c r="G32" s="27"/>
    </row>
    <row r="33" spans="1:7" x14ac:dyDescent="0.25">
      <c r="A33" s="18"/>
      <c r="B33" s="18"/>
      <c r="C33" s="209"/>
      <c r="D33" s="95" t="s">
        <v>93</v>
      </c>
      <c r="E33" s="171">
        <f>'Income and Expenditure'!S76</f>
        <v>0</v>
      </c>
      <c r="F33" s="96"/>
      <c r="G33" s="27"/>
    </row>
    <row r="34" spans="1:7" x14ac:dyDescent="0.25">
      <c r="A34" s="18"/>
      <c r="B34" s="18"/>
      <c r="C34" s="209">
        <v>188.99</v>
      </c>
      <c r="D34" s="95" t="s">
        <v>81</v>
      </c>
      <c r="E34" s="171">
        <f>'Income and Expenditure'!P76</f>
        <v>0</v>
      </c>
      <c r="F34" s="96"/>
      <c r="G34" s="27"/>
    </row>
    <row r="35" spans="1:7" x14ac:dyDescent="0.25">
      <c r="A35" s="18"/>
      <c r="B35" s="18"/>
      <c r="C35" s="209">
        <v>118.04</v>
      </c>
      <c r="D35" s="95" t="s">
        <v>52</v>
      </c>
      <c r="E35" s="171">
        <f>'Income and Expenditure'!Q76</f>
        <v>118.04</v>
      </c>
      <c r="F35" s="96"/>
      <c r="G35" s="27"/>
    </row>
    <row r="36" spans="1:7" x14ac:dyDescent="0.25">
      <c r="A36" s="18"/>
      <c r="B36" s="18"/>
      <c r="C36" s="209"/>
      <c r="D36" s="95" t="s">
        <v>184</v>
      </c>
      <c r="E36" s="171">
        <f>'Income and Expenditure'!T76</f>
        <v>4180</v>
      </c>
      <c r="F36" s="96"/>
      <c r="G36" s="27"/>
    </row>
    <row r="37" spans="1:7" x14ac:dyDescent="0.25">
      <c r="A37" s="18"/>
      <c r="B37" s="18"/>
      <c r="C37" s="209">
        <v>725</v>
      </c>
      <c r="D37" s="95" t="s">
        <v>115</v>
      </c>
      <c r="E37" s="171">
        <f>'Income and Expenditure'!U76</f>
        <v>0</v>
      </c>
      <c r="F37" s="96"/>
      <c r="G37" s="27"/>
    </row>
    <row r="38" spans="1:7" x14ac:dyDescent="0.25">
      <c r="A38" s="18"/>
      <c r="B38" s="18"/>
      <c r="C38" s="209"/>
      <c r="D38" s="95" t="s">
        <v>110</v>
      </c>
      <c r="E38" s="171">
        <f>'Income and Expenditure'!V76</f>
        <v>0</v>
      </c>
      <c r="F38" s="96"/>
      <c r="G38" s="27"/>
    </row>
    <row r="39" spans="1:7" ht="15.75" thickBot="1" x14ac:dyDescent="0.3">
      <c r="A39" s="18"/>
      <c r="B39" s="18"/>
      <c r="C39" s="51">
        <f>SUM(C21:C38)</f>
        <v>11671.04</v>
      </c>
      <c r="D39" s="52" t="s">
        <v>31</v>
      </c>
      <c r="E39" s="53">
        <f>SUM(E21:E38)</f>
        <v>15700.970000000001</v>
      </c>
      <c r="F39" s="54">
        <f t="shared" si="2"/>
        <v>0.34529313583022592</v>
      </c>
      <c r="G39" s="18"/>
    </row>
    <row r="40" spans="1:7" ht="18" x14ac:dyDescent="0.25">
      <c r="A40" s="18"/>
      <c r="B40" s="23" t="s">
        <v>32</v>
      </c>
      <c r="C40" s="18"/>
      <c r="D40" s="18"/>
      <c r="E40" s="18"/>
      <c r="F40" s="18"/>
      <c r="G40" s="31"/>
    </row>
    <row r="41" spans="1:7" x14ac:dyDescent="0.25">
      <c r="A41" s="18"/>
      <c r="B41" s="18"/>
      <c r="C41" s="31"/>
      <c r="D41" s="31"/>
      <c r="E41" s="31"/>
      <c r="F41" s="31"/>
      <c r="G41" s="18"/>
    </row>
    <row r="42" spans="1:7" ht="51.75" x14ac:dyDescent="0.25">
      <c r="A42" s="18"/>
      <c r="B42" s="18"/>
      <c r="C42" s="158" t="s">
        <v>129</v>
      </c>
      <c r="D42" s="43"/>
      <c r="E42" s="42" t="s">
        <v>82</v>
      </c>
      <c r="F42" s="18"/>
      <c r="G42" s="18"/>
    </row>
    <row r="43" spans="1:7" x14ac:dyDescent="0.25">
      <c r="A43" s="18"/>
      <c r="B43" s="18"/>
      <c r="C43" s="43" t="s">
        <v>26</v>
      </c>
      <c r="D43" s="43"/>
      <c r="E43" s="43" t="s">
        <v>26</v>
      </c>
      <c r="F43" s="18"/>
      <c r="G43" s="18"/>
    </row>
    <row r="44" spans="1:7" x14ac:dyDescent="0.25">
      <c r="A44" s="18"/>
      <c r="B44" s="18"/>
      <c r="C44" s="28">
        <v>12327.59</v>
      </c>
      <c r="D44" s="24" t="s">
        <v>100</v>
      </c>
      <c r="E44" s="28">
        <f>C53</f>
        <v>11040.559999999998</v>
      </c>
      <c r="F44" s="18"/>
      <c r="G44" s="18"/>
    </row>
    <row r="45" spans="1:7" x14ac:dyDescent="0.25">
      <c r="A45" s="18"/>
      <c r="B45" s="18"/>
      <c r="C45" s="28"/>
      <c r="D45" s="25"/>
      <c r="E45" s="28"/>
      <c r="F45" s="18"/>
      <c r="G45" s="18"/>
    </row>
    <row r="46" spans="1:7" x14ac:dyDescent="0.25">
      <c r="A46" s="18"/>
      <c r="B46" s="18"/>
      <c r="C46" s="207">
        <f>C16</f>
        <v>10384.01</v>
      </c>
      <c r="D46" s="25" t="s">
        <v>25</v>
      </c>
      <c r="E46" s="28">
        <f>'Income and Expenditure'!E14</f>
        <v>15235.88</v>
      </c>
      <c r="F46" s="18"/>
      <c r="G46" s="18"/>
    </row>
    <row r="47" spans="1:7" x14ac:dyDescent="0.25">
      <c r="A47" s="97"/>
      <c r="B47" s="18"/>
      <c r="C47" s="207"/>
      <c r="D47" s="25"/>
      <c r="E47" s="28"/>
      <c r="F47" s="18"/>
      <c r="G47" s="18"/>
    </row>
    <row r="48" spans="1:7" x14ac:dyDescent="0.25">
      <c r="A48" s="18"/>
      <c r="B48" s="18"/>
      <c r="C48" s="207">
        <f>C39</f>
        <v>11671.04</v>
      </c>
      <c r="D48" s="25" t="s">
        <v>29</v>
      </c>
      <c r="E48" s="28">
        <f>'Income and Expenditure'!E76</f>
        <v>15700.97</v>
      </c>
      <c r="F48" s="18"/>
      <c r="G48" s="18"/>
    </row>
    <row r="49" spans="1:9" x14ac:dyDescent="0.25">
      <c r="A49" s="18"/>
      <c r="B49" s="18"/>
      <c r="C49" s="34"/>
      <c r="D49" s="25"/>
      <c r="E49" s="28"/>
      <c r="F49" s="18"/>
      <c r="G49" s="18"/>
    </row>
    <row r="50" spans="1:9" x14ac:dyDescent="0.25">
      <c r="A50" s="97"/>
      <c r="B50" s="18"/>
      <c r="C50" s="34"/>
      <c r="D50" s="25"/>
      <c r="E50" s="28"/>
      <c r="F50" s="18"/>
      <c r="G50" s="18"/>
    </row>
    <row r="51" spans="1:9" x14ac:dyDescent="0.25">
      <c r="A51" s="18"/>
      <c r="B51" s="18"/>
      <c r="C51" s="28"/>
      <c r="D51" s="25"/>
      <c r="E51" s="28"/>
      <c r="F51" s="18"/>
      <c r="G51" s="18"/>
    </row>
    <row r="52" spans="1:9" x14ac:dyDescent="0.25">
      <c r="A52" s="18"/>
      <c r="B52" s="18"/>
      <c r="C52" s="28"/>
      <c r="D52" s="25"/>
      <c r="E52" s="28"/>
      <c r="F52" s="18"/>
      <c r="G52" s="18"/>
    </row>
    <row r="53" spans="1:9" x14ac:dyDescent="0.25">
      <c r="A53" s="18"/>
      <c r="B53" s="18"/>
      <c r="C53" s="35">
        <f>C44+C46-C48</f>
        <v>11040.559999999998</v>
      </c>
      <c r="D53" s="24" t="s">
        <v>101</v>
      </c>
      <c r="E53" s="35">
        <f>E44+E46-E48</f>
        <v>10575.469999999996</v>
      </c>
      <c r="F53" s="18"/>
      <c r="G53" s="18"/>
    </row>
    <row r="54" spans="1:9" x14ac:dyDescent="0.25">
      <c r="A54" s="18"/>
      <c r="B54" s="18"/>
      <c r="C54" s="119"/>
      <c r="D54" s="31"/>
      <c r="E54" s="119"/>
      <c r="F54" s="18"/>
      <c r="G54" s="18"/>
    </row>
    <row r="55" spans="1:9" x14ac:dyDescent="0.25">
      <c r="A55" s="18"/>
      <c r="B55" s="18" t="s">
        <v>33</v>
      </c>
      <c r="C55" s="18"/>
      <c r="D55" s="18"/>
      <c r="E55" s="18"/>
      <c r="F55" s="18"/>
      <c r="G55" s="18"/>
    </row>
    <row r="56" spans="1:9" x14ac:dyDescent="0.25">
      <c r="A56" s="18"/>
      <c r="C56" s="18"/>
      <c r="D56" s="18"/>
      <c r="E56" s="18"/>
      <c r="F56" s="18"/>
      <c r="G56" s="18"/>
    </row>
    <row r="57" spans="1:9" x14ac:dyDescent="0.25">
      <c r="A57" s="18"/>
      <c r="B57" s="117" t="s">
        <v>34</v>
      </c>
      <c r="C57" s="117"/>
      <c r="D57" s="41" t="s">
        <v>129</v>
      </c>
      <c r="E57" s="169" t="s">
        <v>114</v>
      </c>
      <c r="F57" s="18"/>
      <c r="G57" s="18"/>
    </row>
    <row r="58" spans="1:9" x14ac:dyDescent="0.25">
      <c r="A58" s="18"/>
      <c r="B58" s="118" t="s">
        <v>35</v>
      </c>
      <c r="C58" s="118"/>
      <c r="D58" s="29">
        <f>C53</f>
        <v>11040.559999999998</v>
      </c>
      <c r="E58" s="29">
        <f>E53</f>
        <v>10575.469999999996</v>
      </c>
      <c r="F58" s="18"/>
      <c r="G58" s="18"/>
      <c r="I58" s="5"/>
    </row>
    <row r="59" spans="1:9" x14ac:dyDescent="0.25">
      <c r="A59" s="18"/>
      <c r="B59" s="118" t="s">
        <v>102</v>
      </c>
      <c r="C59" s="118"/>
      <c r="D59" s="29">
        <v>0</v>
      </c>
      <c r="E59" s="29"/>
      <c r="F59" s="18"/>
      <c r="G59" s="27"/>
    </row>
    <row r="60" spans="1:9" x14ac:dyDescent="0.25">
      <c r="A60" s="18"/>
      <c r="B60" s="118" t="s">
        <v>36</v>
      </c>
      <c r="C60" s="118"/>
      <c r="D60" s="207">
        <f>D58-D59</f>
        <v>11040.559999999998</v>
      </c>
      <c r="E60" s="34">
        <f>E58-E59</f>
        <v>10575.469999999996</v>
      </c>
      <c r="F60" s="32"/>
      <c r="G60" s="32"/>
    </row>
    <row r="61" spans="1:9" x14ac:dyDescent="0.25">
      <c r="A61" s="18"/>
      <c r="B61" s="18"/>
      <c r="C61" s="18"/>
      <c r="D61" s="18"/>
      <c r="E61" s="18"/>
      <c r="F61" s="18"/>
      <c r="G61" s="32"/>
    </row>
    <row r="62" spans="1:9" x14ac:dyDescent="0.25">
      <c r="A62" s="18"/>
      <c r="B62" s="18" t="s">
        <v>37</v>
      </c>
      <c r="C62" s="18"/>
      <c r="D62" s="18"/>
      <c r="E62" s="18"/>
      <c r="F62" s="18"/>
      <c r="G62" s="18"/>
    </row>
    <row r="63" spans="1:9" x14ac:dyDescent="0.25">
      <c r="A63" s="18"/>
      <c r="B63" s="18"/>
      <c r="C63" s="18"/>
      <c r="D63" s="18"/>
      <c r="E63" s="18"/>
      <c r="F63" s="18"/>
      <c r="G63" s="18"/>
    </row>
    <row r="64" spans="1:9" x14ac:dyDescent="0.25">
      <c r="A64" s="18"/>
      <c r="C64" s="18"/>
      <c r="D64" s="18"/>
      <c r="E64" s="18"/>
      <c r="F64" s="18"/>
      <c r="G64" s="18"/>
    </row>
    <row r="65" spans="1:7" x14ac:dyDescent="0.25">
      <c r="A65" s="18"/>
      <c r="B65" s="18" t="s">
        <v>38</v>
      </c>
      <c r="C65" s="36"/>
      <c r="D65" s="36" t="s">
        <v>290</v>
      </c>
      <c r="E65" s="37" t="s">
        <v>39</v>
      </c>
      <c r="F65" s="38" t="s">
        <v>0</v>
      </c>
      <c r="G65" s="18"/>
    </row>
    <row r="66" spans="1:7" ht="26.25" x14ac:dyDescent="0.25">
      <c r="A66" s="18"/>
      <c r="B66" s="18" t="s">
        <v>38</v>
      </c>
      <c r="C66" s="36"/>
      <c r="D66" s="36" t="s">
        <v>289</v>
      </c>
      <c r="E66" s="39" t="s">
        <v>40</v>
      </c>
      <c r="F66" s="38" t="s">
        <v>0</v>
      </c>
      <c r="G66" s="18"/>
    </row>
    <row r="67" spans="1:7" x14ac:dyDescent="0.25">
      <c r="A67" s="18"/>
      <c r="B67" s="18"/>
      <c r="C67" s="18"/>
      <c r="D67" s="18"/>
      <c r="E67" s="18"/>
      <c r="F67" s="18"/>
      <c r="G67" s="18"/>
    </row>
    <row r="68" spans="1:7" x14ac:dyDescent="0.25">
      <c r="B68" s="40"/>
      <c r="C68" s="18"/>
      <c r="D68" s="18"/>
      <c r="E68" s="18"/>
      <c r="F68" s="18"/>
      <c r="G68" s="40"/>
    </row>
    <row r="69" spans="1:7" x14ac:dyDescent="0.25">
      <c r="C69" s="40"/>
      <c r="D69" s="40"/>
      <c r="E69" s="40"/>
      <c r="F69" s="40"/>
    </row>
  </sheetData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9AB73-3557-49DE-ADE1-CDD969CA741C}">
  <sheetPr>
    <pageSetUpPr fitToPage="1"/>
  </sheetPr>
  <dimension ref="A1:AJ45"/>
  <sheetViews>
    <sheetView zoomScaleNormal="10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Z38" sqref="Z38"/>
    </sheetView>
  </sheetViews>
  <sheetFormatPr defaultRowHeight="15" x14ac:dyDescent="0.25"/>
  <cols>
    <col min="1" max="1" width="17.7109375" style="136" bestFit="1" customWidth="1"/>
    <col min="2" max="2" width="7.7109375" customWidth="1"/>
    <col min="3" max="3" width="14.85546875" style="10" customWidth="1"/>
    <col min="4" max="4" width="17.7109375" hidden="1" customWidth="1"/>
    <col min="5" max="5" width="2.28515625" style="137" customWidth="1"/>
    <col min="6" max="6" width="7.28515625" customWidth="1"/>
    <col min="7" max="7" width="17.7109375" customWidth="1"/>
    <col min="8" max="8" width="18" style="136" hidden="1" customWidth="1"/>
    <col min="9" max="9" width="2.28515625" style="137" customWidth="1"/>
    <col min="10" max="10" width="14.5703125" style="135" customWidth="1"/>
    <col min="11" max="11" width="20.85546875" style="135" customWidth="1"/>
    <col min="12" max="12" width="20.85546875" style="135" hidden="1" customWidth="1"/>
    <col min="13" max="13" width="13.42578125" style="135" hidden="1" customWidth="1"/>
    <col min="14" max="14" width="18" style="135" hidden="1" customWidth="1"/>
    <col min="15" max="15" width="32.140625" style="132" hidden="1" customWidth="1"/>
    <col min="16" max="16" width="2.28515625" style="137" customWidth="1"/>
    <col min="17" max="18" width="15.28515625" style="135" customWidth="1"/>
    <col min="19" max="19" width="15.28515625" style="135" hidden="1" customWidth="1"/>
    <col min="20" max="20" width="2.28515625" style="137" customWidth="1"/>
    <col min="21" max="21" width="9.140625" customWidth="1"/>
    <col min="22" max="22" width="14.85546875" customWidth="1"/>
    <col min="23" max="23" width="14.85546875" hidden="1" customWidth="1"/>
    <col min="24" max="24" width="2.28515625" style="137" customWidth="1"/>
    <col min="25" max="26" width="15.28515625" style="135" customWidth="1"/>
    <col min="27" max="27" width="15.7109375" style="135" hidden="1" customWidth="1"/>
    <col min="28" max="29" width="15.28515625" style="135" hidden="1" customWidth="1"/>
    <col min="30" max="30" width="54.85546875" hidden="1" customWidth="1"/>
    <col min="31" max="31" width="2.28515625" style="137" customWidth="1"/>
    <col min="33" max="33" width="18" customWidth="1"/>
  </cols>
  <sheetData>
    <row r="1" spans="1:34" x14ac:dyDescent="0.25">
      <c r="A1" s="112"/>
      <c r="B1" s="281" t="s">
        <v>66</v>
      </c>
      <c r="C1" s="282"/>
      <c r="D1" s="282"/>
      <c r="E1" s="131"/>
      <c r="F1" s="281" t="s">
        <v>69</v>
      </c>
      <c r="G1" s="282"/>
      <c r="H1" s="282"/>
      <c r="I1" s="131"/>
      <c r="J1" s="283" t="s">
        <v>70</v>
      </c>
      <c r="K1" s="284"/>
      <c r="L1" s="284"/>
      <c r="M1" s="284"/>
      <c r="N1" s="284"/>
      <c r="O1" s="285"/>
      <c r="P1" s="131"/>
      <c r="Q1" s="127"/>
      <c r="R1" s="191" t="s">
        <v>113</v>
      </c>
      <c r="S1" s="191"/>
      <c r="T1" s="131"/>
      <c r="U1" s="189" t="s">
        <v>124</v>
      </c>
      <c r="V1" s="210"/>
      <c r="W1" s="210"/>
      <c r="X1" s="131"/>
      <c r="Y1" s="189" t="s">
        <v>130</v>
      </c>
      <c r="AA1" s="127"/>
      <c r="AB1" s="127"/>
      <c r="AC1" s="127"/>
      <c r="AE1" s="131"/>
      <c r="AF1" s="101" t="s">
        <v>265</v>
      </c>
    </row>
    <row r="2" spans="1:34" s="101" customFormat="1" ht="45" x14ac:dyDescent="0.25">
      <c r="A2" s="113"/>
      <c r="B2" s="110" t="s">
        <v>67</v>
      </c>
      <c r="C2" s="102" t="s">
        <v>68</v>
      </c>
      <c r="D2" s="123" t="s">
        <v>60</v>
      </c>
      <c r="E2" s="130"/>
      <c r="F2" s="110" t="s">
        <v>67</v>
      </c>
      <c r="G2" s="102" t="s">
        <v>68</v>
      </c>
      <c r="H2" s="115" t="s">
        <v>60</v>
      </c>
      <c r="I2" s="130"/>
      <c r="J2" s="110" t="s">
        <v>67</v>
      </c>
      <c r="K2" s="102" t="s">
        <v>68</v>
      </c>
      <c r="L2" s="102" t="s">
        <v>71</v>
      </c>
      <c r="M2" s="122" t="s">
        <v>72</v>
      </c>
      <c r="N2" s="102" t="s">
        <v>60</v>
      </c>
      <c r="O2" s="128" t="s">
        <v>90</v>
      </c>
      <c r="P2" s="130"/>
      <c r="Q2" s="110" t="s">
        <v>67</v>
      </c>
      <c r="R2" s="102" t="s">
        <v>68</v>
      </c>
      <c r="S2" s="102" t="s">
        <v>60</v>
      </c>
      <c r="T2" s="130"/>
      <c r="U2" s="110" t="s">
        <v>67</v>
      </c>
      <c r="V2" s="102" t="s">
        <v>68</v>
      </c>
      <c r="W2" s="102" t="s">
        <v>60</v>
      </c>
      <c r="X2" s="130"/>
      <c r="Y2" s="102" t="s">
        <v>67</v>
      </c>
      <c r="Z2" s="102" t="s">
        <v>75</v>
      </c>
      <c r="AA2" s="122" t="s">
        <v>204</v>
      </c>
      <c r="AB2" s="122" t="s">
        <v>72</v>
      </c>
      <c r="AC2" s="102" t="s">
        <v>60</v>
      </c>
      <c r="AD2" s="101" t="s">
        <v>103</v>
      </c>
      <c r="AE2" s="130"/>
      <c r="AF2" s="256" t="s">
        <v>273</v>
      </c>
    </row>
    <row r="3" spans="1:34" x14ac:dyDescent="0.25">
      <c r="A3" s="114" t="s">
        <v>53</v>
      </c>
      <c r="B3" s="110" t="s">
        <v>26</v>
      </c>
      <c r="C3" s="102" t="s">
        <v>26</v>
      </c>
      <c r="D3" s="123" t="s">
        <v>26</v>
      </c>
      <c r="E3" s="130"/>
      <c r="F3" s="110" t="s">
        <v>26</v>
      </c>
      <c r="G3" s="102" t="s">
        <v>26</v>
      </c>
      <c r="H3" s="115" t="s">
        <v>26</v>
      </c>
      <c r="I3" s="130"/>
      <c r="J3" s="110" t="s">
        <v>26</v>
      </c>
      <c r="K3" s="102" t="s">
        <v>26</v>
      </c>
      <c r="L3" s="102"/>
      <c r="M3" s="102"/>
      <c r="N3" s="102" t="s">
        <v>26</v>
      </c>
      <c r="P3" s="130"/>
      <c r="Q3" s="102" t="s">
        <v>26</v>
      </c>
      <c r="R3" s="102"/>
      <c r="S3" s="183"/>
      <c r="T3" s="130"/>
      <c r="U3" s="102" t="s">
        <v>26</v>
      </c>
      <c r="V3" s="102"/>
      <c r="W3" s="102"/>
      <c r="X3" s="130"/>
      <c r="Y3" s="102"/>
      <c r="Z3" s="102"/>
      <c r="AA3" s="102"/>
      <c r="AB3" s="102"/>
      <c r="AC3" s="183"/>
      <c r="AE3" s="130"/>
      <c r="AF3" s="257"/>
    </row>
    <row r="4" spans="1:34" x14ac:dyDescent="0.25">
      <c r="A4" s="142" t="s">
        <v>4</v>
      </c>
      <c r="B4" s="143">
        <v>4914</v>
      </c>
      <c r="C4" s="144">
        <v>5110</v>
      </c>
      <c r="D4" s="253">
        <f t="shared" ref="D4:D9" si="0">C4-B4</f>
        <v>196</v>
      </c>
      <c r="E4" s="133"/>
      <c r="F4" s="145"/>
      <c r="G4" s="144">
        <v>5213</v>
      </c>
      <c r="H4" s="142"/>
      <c r="I4" s="133"/>
      <c r="J4" s="176">
        <v>5213</v>
      </c>
      <c r="K4" s="134">
        <v>5213</v>
      </c>
      <c r="L4" s="134">
        <v>0</v>
      </c>
      <c r="M4" s="134">
        <v>5213</v>
      </c>
      <c r="N4" s="134">
        <v>0</v>
      </c>
      <c r="P4" s="133"/>
      <c r="Q4" s="134">
        <v>5473.6500000000005</v>
      </c>
      <c r="R4" s="134">
        <v>5474</v>
      </c>
      <c r="T4" s="133"/>
      <c r="U4" s="134">
        <v>5802</v>
      </c>
      <c r="V4" s="134">
        <v>5802</v>
      </c>
      <c r="W4" s="134">
        <f>U4-V4</f>
        <v>0</v>
      </c>
      <c r="X4" s="133"/>
      <c r="Y4" s="206">
        <v>6802</v>
      </c>
      <c r="Z4" s="134">
        <f>'Income and Expenditure'!F14</f>
        <v>6802</v>
      </c>
      <c r="AA4" s="134">
        <v>0</v>
      </c>
      <c r="AB4" s="134">
        <f>Z4+AA4</f>
        <v>6802</v>
      </c>
      <c r="AC4" s="134">
        <f>Y4-ZB4</f>
        <v>6802</v>
      </c>
      <c r="AD4" t="s">
        <v>117</v>
      </c>
      <c r="AE4" s="133"/>
      <c r="AF4" s="257">
        <v>10000</v>
      </c>
    </row>
    <row r="5" spans="1:34" ht="30" x14ac:dyDescent="0.25">
      <c r="A5" s="142" t="s">
        <v>5</v>
      </c>
      <c r="B5" s="143">
        <v>164</v>
      </c>
      <c r="C5" s="144">
        <v>164</v>
      </c>
      <c r="D5" s="253">
        <f t="shared" si="0"/>
        <v>0</v>
      </c>
      <c r="E5" s="133"/>
      <c r="F5" s="145"/>
      <c r="G5" s="144">
        <v>164</v>
      </c>
      <c r="H5" s="142"/>
      <c r="I5" s="133"/>
      <c r="J5" s="176">
        <v>164</v>
      </c>
      <c r="K5" s="134">
        <v>164</v>
      </c>
      <c r="L5" s="134">
        <v>0</v>
      </c>
      <c r="M5" s="134">
        <v>164</v>
      </c>
      <c r="N5" s="134">
        <v>0</v>
      </c>
      <c r="P5" s="133"/>
      <c r="Q5" s="134">
        <v>164</v>
      </c>
      <c r="R5" s="134">
        <v>164</v>
      </c>
      <c r="T5" s="133"/>
      <c r="U5" s="134">
        <v>164</v>
      </c>
      <c r="V5" s="134">
        <v>164</v>
      </c>
      <c r="W5" s="134">
        <f t="shared" ref="W5:W12" si="1">U5-V5</f>
        <v>0</v>
      </c>
      <c r="X5" s="133"/>
      <c r="Y5" s="206">
        <v>164</v>
      </c>
      <c r="Z5" s="134">
        <f>'Income and Expenditure'!G14</f>
        <v>164</v>
      </c>
      <c r="AA5" s="134">
        <v>0</v>
      </c>
      <c r="AB5" s="134">
        <f t="shared" ref="AB5:AB11" si="2">Z5+AA5</f>
        <v>164</v>
      </c>
      <c r="AC5" s="134">
        <f t="shared" ref="AC5:AC12" si="3">Y5-ZB5</f>
        <v>164</v>
      </c>
      <c r="AE5" s="133"/>
      <c r="AF5" s="257">
        <v>164</v>
      </c>
    </row>
    <row r="6" spans="1:34" x14ac:dyDescent="0.25">
      <c r="A6" s="142" t="s">
        <v>6</v>
      </c>
      <c r="B6" s="143">
        <v>352</v>
      </c>
      <c r="C6" s="144"/>
      <c r="D6" s="253">
        <f t="shared" si="0"/>
        <v>-352</v>
      </c>
      <c r="E6" s="133"/>
      <c r="F6" s="145"/>
      <c r="G6" s="144">
        <v>878.07</v>
      </c>
      <c r="H6" s="142"/>
      <c r="I6" s="133"/>
      <c r="J6" s="176">
        <v>80</v>
      </c>
      <c r="K6" s="134">
        <v>242.82</v>
      </c>
      <c r="L6" s="134">
        <v>0</v>
      </c>
      <c r="M6" s="134">
        <v>242.82</v>
      </c>
      <c r="N6" s="134">
        <v>162.82</v>
      </c>
      <c r="P6" s="133"/>
      <c r="Q6" s="134">
        <v>382</v>
      </c>
      <c r="R6" s="134">
        <v>492.15</v>
      </c>
      <c r="T6" s="133"/>
      <c r="U6" s="134">
        <v>515</v>
      </c>
      <c r="V6" s="134">
        <v>1040.5</v>
      </c>
      <c r="W6" s="134">
        <f t="shared" si="1"/>
        <v>-525.5</v>
      </c>
      <c r="X6" s="133"/>
      <c r="Y6" s="206">
        <v>550</v>
      </c>
      <c r="Z6" s="134">
        <f>'Income and Expenditure'!H14</f>
        <v>1603.73</v>
      </c>
      <c r="AA6" s="134">
        <v>0</v>
      </c>
      <c r="AB6" s="134">
        <f t="shared" si="2"/>
        <v>1603.73</v>
      </c>
      <c r="AC6" s="134">
        <f t="shared" si="3"/>
        <v>550</v>
      </c>
      <c r="AE6" s="133"/>
      <c r="AF6" s="257">
        <v>500</v>
      </c>
    </row>
    <row r="7" spans="1:34" ht="45" x14ac:dyDescent="0.25">
      <c r="A7" s="146" t="s">
        <v>63</v>
      </c>
      <c r="B7" s="147">
        <v>0</v>
      </c>
      <c r="C7" s="148">
        <v>1624</v>
      </c>
      <c r="D7" s="253">
        <f t="shared" si="0"/>
        <v>1624</v>
      </c>
      <c r="E7" s="133"/>
      <c r="F7" s="149"/>
      <c r="G7" s="148">
        <v>350</v>
      </c>
      <c r="H7" s="146"/>
      <c r="I7" s="133"/>
      <c r="J7" s="176">
        <v>0</v>
      </c>
      <c r="K7" s="134">
        <v>4810</v>
      </c>
      <c r="L7" s="134">
        <v>0</v>
      </c>
      <c r="M7" s="134">
        <v>4810</v>
      </c>
      <c r="N7" s="134">
        <v>4810</v>
      </c>
      <c r="P7" s="133"/>
      <c r="Q7" s="134">
        <v>523.69000000000005</v>
      </c>
      <c r="R7" s="134">
        <v>971.05</v>
      </c>
      <c r="T7" s="133"/>
      <c r="U7" s="134">
        <v>750</v>
      </c>
      <c r="V7" s="134">
        <v>1394</v>
      </c>
      <c r="W7" s="134">
        <f t="shared" si="1"/>
        <v>-644</v>
      </c>
      <c r="X7" s="133"/>
      <c r="Y7" s="206">
        <f>644+495</f>
        <v>1139</v>
      </c>
      <c r="Z7" s="134">
        <f>'Income and Expenditure'!I14</f>
        <v>4824</v>
      </c>
      <c r="AA7" s="134">
        <v>0</v>
      </c>
      <c r="AB7" s="134">
        <f t="shared" si="2"/>
        <v>4824</v>
      </c>
      <c r="AC7" s="134">
        <f t="shared" si="3"/>
        <v>1139</v>
      </c>
      <c r="AD7" s="205" t="s">
        <v>175</v>
      </c>
      <c r="AE7" s="133"/>
      <c r="AF7" s="257">
        <v>644</v>
      </c>
      <c r="AG7" t="s">
        <v>274</v>
      </c>
    </row>
    <row r="8" spans="1:34" ht="30" x14ac:dyDescent="0.25">
      <c r="A8" s="146" t="s">
        <v>116</v>
      </c>
      <c r="B8" s="147">
        <v>0</v>
      </c>
      <c r="C8" s="148"/>
      <c r="D8" s="253">
        <f t="shared" si="0"/>
        <v>0</v>
      </c>
      <c r="E8" s="133"/>
      <c r="F8" s="149"/>
      <c r="G8" s="148">
        <v>150</v>
      </c>
      <c r="H8" s="146"/>
      <c r="I8" s="133"/>
      <c r="J8" s="176">
        <v>0</v>
      </c>
      <c r="K8" s="134">
        <v>0</v>
      </c>
      <c r="L8" s="134">
        <v>0</v>
      </c>
      <c r="M8" s="134">
        <v>0</v>
      </c>
      <c r="N8" s="134">
        <v>0</v>
      </c>
      <c r="P8" s="133"/>
      <c r="Q8" s="134">
        <v>0</v>
      </c>
      <c r="R8" s="134">
        <v>0</v>
      </c>
      <c r="T8" s="133"/>
      <c r="U8" s="134">
        <v>0</v>
      </c>
      <c r="V8" s="134">
        <v>41.36</v>
      </c>
      <c r="W8" s="134">
        <f t="shared" si="1"/>
        <v>-41.36</v>
      </c>
      <c r="X8" s="133"/>
      <c r="Y8" s="206"/>
      <c r="Z8" s="134">
        <f>'Income and Expenditure'!J14</f>
        <v>0</v>
      </c>
      <c r="AA8" s="134">
        <v>0</v>
      </c>
      <c r="AB8" s="134">
        <f t="shared" si="2"/>
        <v>0</v>
      </c>
      <c r="AC8" s="134">
        <f t="shared" si="3"/>
        <v>0</v>
      </c>
      <c r="AE8" s="133"/>
      <c r="AF8" s="257">
        <v>0</v>
      </c>
    </row>
    <row r="9" spans="1:34" ht="30" x14ac:dyDescent="0.25">
      <c r="A9" s="142" t="s">
        <v>50</v>
      </c>
      <c r="B9" s="143">
        <v>1771</v>
      </c>
      <c r="C9" s="144">
        <v>0</v>
      </c>
      <c r="D9" s="253">
        <f t="shared" si="0"/>
        <v>-1771</v>
      </c>
      <c r="E9" s="133"/>
      <c r="F9" s="145"/>
      <c r="G9" s="144">
        <v>1842</v>
      </c>
      <c r="H9" s="142"/>
      <c r="I9" s="133"/>
      <c r="J9" s="176">
        <v>1842</v>
      </c>
      <c r="K9" s="134">
        <v>1842</v>
      </c>
      <c r="L9" s="134"/>
      <c r="M9" s="134">
        <v>1842</v>
      </c>
      <c r="N9" s="134">
        <v>0</v>
      </c>
      <c r="P9" s="133"/>
      <c r="Q9" s="134">
        <v>1842</v>
      </c>
      <c r="R9" s="134">
        <v>1842.15</v>
      </c>
      <c r="T9" s="133"/>
      <c r="U9" s="134">
        <v>1842.15</v>
      </c>
      <c r="V9" s="134">
        <v>1842.15</v>
      </c>
      <c r="W9" s="134">
        <f t="shared" si="1"/>
        <v>0</v>
      </c>
      <c r="X9" s="133"/>
      <c r="Y9" s="206">
        <v>1842.15</v>
      </c>
      <c r="Z9" s="134">
        <f>'Income and Expenditure'!L14</f>
        <v>1842.15</v>
      </c>
      <c r="AA9" s="134">
        <v>0</v>
      </c>
      <c r="AB9" s="134">
        <f t="shared" si="2"/>
        <v>1842.15</v>
      </c>
      <c r="AC9" s="134">
        <f t="shared" si="3"/>
        <v>1842.15</v>
      </c>
      <c r="AD9" t="s">
        <v>118</v>
      </c>
      <c r="AE9" s="133"/>
      <c r="AF9" s="257">
        <v>1842.15</v>
      </c>
      <c r="AG9" t="s">
        <v>237</v>
      </c>
    </row>
    <row r="10" spans="1:34" ht="60" customHeight="1" x14ac:dyDescent="0.25">
      <c r="A10" s="142" t="s">
        <v>77</v>
      </c>
      <c r="B10" s="144"/>
      <c r="C10" s="144"/>
      <c r="D10" s="253"/>
      <c r="E10" s="133"/>
      <c r="F10" s="145"/>
      <c r="G10" s="144"/>
      <c r="H10" s="144"/>
      <c r="I10" s="133"/>
      <c r="J10" s="134"/>
      <c r="K10" s="134">
        <v>100</v>
      </c>
      <c r="L10" s="134">
        <v>0</v>
      </c>
      <c r="M10" s="134">
        <v>100</v>
      </c>
      <c r="N10" s="134"/>
      <c r="P10" s="133"/>
      <c r="Q10" s="134">
        <v>100</v>
      </c>
      <c r="R10" s="134">
        <v>100</v>
      </c>
      <c r="T10" s="133"/>
      <c r="U10" s="134">
        <v>100</v>
      </c>
      <c r="V10" s="134">
        <v>100</v>
      </c>
      <c r="W10" s="134">
        <f t="shared" si="1"/>
        <v>0</v>
      </c>
      <c r="X10" s="133"/>
      <c r="Y10" s="206">
        <v>100</v>
      </c>
      <c r="Z10" s="134">
        <f>'Income and Expenditure'!K14</f>
        <v>0</v>
      </c>
      <c r="AA10" s="134">
        <v>0</v>
      </c>
      <c r="AB10" s="134">
        <f t="shared" si="2"/>
        <v>0</v>
      </c>
      <c r="AC10" s="134">
        <f t="shared" si="3"/>
        <v>100</v>
      </c>
      <c r="AD10" t="s">
        <v>119</v>
      </c>
      <c r="AE10" s="133"/>
      <c r="AF10" s="257">
        <v>0</v>
      </c>
      <c r="AG10" t="s">
        <v>240</v>
      </c>
    </row>
    <row r="11" spans="1:34" ht="45" x14ac:dyDescent="0.25">
      <c r="A11" s="142" t="s">
        <v>65</v>
      </c>
      <c r="B11" s="143"/>
      <c r="C11" s="144"/>
      <c r="D11" s="253"/>
      <c r="E11" s="133"/>
      <c r="F11" s="145"/>
      <c r="G11" s="144">
        <v>3577</v>
      </c>
      <c r="H11" s="144"/>
      <c r="I11" s="133"/>
      <c r="J11" s="134">
        <v>0</v>
      </c>
      <c r="K11" s="134">
        <v>0</v>
      </c>
      <c r="L11" s="134">
        <v>0</v>
      </c>
      <c r="M11" s="134">
        <v>0</v>
      </c>
      <c r="N11" s="134">
        <v>0</v>
      </c>
      <c r="P11" s="133"/>
      <c r="Q11" s="134">
        <v>0</v>
      </c>
      <c r="R11" s="134">
        <v>0</v>
      </c>
      <c r="T11" s="133"/>
      <c r="U11" s="134">
        <v>0</v>
      </c>
      <c r="V11" s="134"/>
      <c r="W11" s="134">
        <f t="shared" si="1"/>
        <v>0</v>
      </c>
      <c r="X11" s="133"/>
      <c r="Y11" s="206">
        <v>0</v>
      </c>
      <c r="Z11" s="134"/>
      <c r="AA11" s="134">
        <v>0</v>
      </c>
      <c r="AB11" s="134">
        <f t="shared" si="2"/>
        <v>0</v>
      </c>
      <c r="AC11" s="134">
        <f t="shared" si="3"/>
        <v>0</v>
      </c>
      <c r="AE11" s="133"/>
      <c r="AF11" s="257">
        <v>0</v>
      </c>
    </row>
    <row r="12" spans="1:34" s="135" customFormat="1" x14ac:dyDescent="0.25">
      <c r="A12" s="115" t="s">
        <v>54</v>
      </c>
      <c r="B12" s="123">
        <f>SUM(B4:B11)</f>
        <v>7201</v>
      </c>
      <c r="C12" s="102">
        <f t="shared" ref="C12:H12" si="4">SUM(C4:C11)</f>
        <v>6898</v>
      </c>
      <c r="D12" s="123">
        <f t="shared" si="4"/>
        <v>-303</v>
      </c>
      <c r="E12" s="130"/>
      <c r="F12" s="123">
        <f t="shared" si="4"/>
        <v>0</v>
      </c>
      <c r="G12" s="124">
        <f t="shared" si="4"/>
        <v>12174.07</v>
      </c>
      <c r="H12" s="115">
        <f t="shared" si="4"/>
        <v>0</v>
      </c>
      <c r="I12" s="130"/>
      <c r="J12" s="124">
        <v>7299</v>
      </c>
      <c r="K12" s="124">
        <v>12371.82</v>
      </c>
      <c r="L12" s="124">
        <v>0</v>
      </c>
      <c r="M12" s="102">
        <v>12371.82</v>
      </c>
      <c r="N12" s="134">
        <v>5072.82</v>
      </c>
      <c r="O12" s="177"/>
      <c r="P12" s="130"/>
      <c r="Q12" s="102">
        <f>SUM(Q4:Q11)</f>
        <v>8485.34</v>
      </c>
      <c r="R12" s="102">
        <f>SUM(R4:R11)</f>
        <v>9043.35</v>
      </c>
      <c r="S12" s="183"/>
      <c r="T12" s="130"/>
      <c r="U12" s="102">
        <f>SUM(U4:U11)</f>
        <v>9173.15</v>
      </c>
      <c r="V12" s="102">
        <f>SUM(V4:V11)</f>
        <v>10384.01</v>
      </c>
      <c r="W12" s="102">
        <f t="shared" si="1"/>
        <v>-1210.8600000000006</v>
      </c>
      <c r="X12" s="130"/>
      <c r="Y12" s="102">
        <f>SUM(Y4:Y11)</f>
        <v>10597.15</v>
      </c>
      <c r="Z12" s="102">
        <f>SUM(Z4:Z11)</f>
        <v>15235.88</v>
      </c>
      <c r="AA12" s="102">
        <f>SUM(AA4:AA11)</f>
        <v>0</v>
      </c>
      <c r="AB12" s="102">
        <f>SUM(AB4:AB11)</f>
        <v>15235.88</v>
      </c>
      <c r="AC12" s="134">
        <f t="shared" si="3"/>
        <v>10597.15</v>
      </c>
      <c r="AE12" s="130"/>
      <c r="AF12" s="134">
        <f>SUM(AF4:AF11)</f>
        <v>13150.15</v>
      </c>
    </row>
    <row r="14" spans="1:34" x14ac:dyDescent="0.25">
      <c r="O14" s="128" t="s">
        <v>90</v>
      </c>
      <c r="Q14" s="132"/>
      <c r="R14" s="132"/>
      <c r="S14" s="132"/>
      <c r="Y14" s="132"/>
      <c r="Z14" s="132"/>
      <c r="AA14" s="132"/>
      <c r="AB14" s="132"/>
      <c r="AC14" s="132"/>
    </row>
    <row r="15" spans="1:34" s="132" customFormat="1" ht="45" x14ac:dyDescent="0.25">
      <c r="A15" s="154" t="s">
        <v>8</v>
      </c>
      <c r="B15" s="155" t="s">
        <v>73</v>
      </c>
      <c r="C15" s="122" t="s">
        <v>68</v>
      </c>
      <c r="D15" s="254" t="s">
        <v>60</v>
      </c>
      <c r="E15" s="156"/>
      <c r="F15" s="155" t="s">
        <v>67</v>
      </c>
      <c r="G15" s="122" t="s">
        <v>68</v>
      </c>
      <c r="H15" s="157" t="s">
        <v>60</v>
      </c>
      <c r="I15" s="156"/>
      <c r="J15" s="155" t="s">
        <v>67</v>
      </c>
      <c r="K15" s="122" t="s">
        <v>68</v>
      </c>
      <c r="L15" s="122" t="s">
        <v>71</v>
      </c>
      <c r="M15" s="122" t="s">
        <v>72</v>
      </c>
      <c r="N15" s="122" t="s">
        <v>60</v>
      </c>
      <c r="P15" s="156"/>
      <c r="Q15" s="155" t="s">
        <v>67</v>
      </c>
      <c r="R15" s="155" t="s">
        <v>68</v>
      </c>
      <c r="S15" s="276"/>
      <c r="T15" s="156"/>
      <c r="U15" s="155" t="s">
        <v>67</v>
      </c>
      <c r="V15" s="155" t="s">
        <v>68</v>
      </c>
      <c r="W15" s="276"/>
      <c r="X15" s="156"/>
      <c r="Y15" s="155" t="s">
        <v>67</v>
      </c>
      <c r="Z15" s="102" t="s">
        <v>104</v>
      </c>
      <c r="AA15" s="122" t="s">
        <v>204</v>
      </c>
      <c r="AB15" s="122" t="s">
        <v>72</v>
      </c>
      <c r="AC15" s="276"/>
      <c r="AD15" s="132" t="s">
        <v>121</v>
      </c>
      <c r="AE15" s="156"/>
      <c r="AF15" s="258" t="s">
        <v>236</v>
      </c>
      <c r="AG15" s="132" t="s">
        <v>238</v>
      </c>
      <c r="AH15" s="255">
        <v>1.05</v>
      </c>
    </row>
    <row r="16" spans="1:34" x14ac:dyDescent="0.25">
      <c r="A16" s="142" t="s">
        <v>55</v>
      </c>
      <c r="B16" s="145"/>
      <c r="C16" s="144">
        <v>478.26</v>
      </c>
      <c r="D16" s="253">
        <f t="shared" ref="D16:D34" si="5">C16-B16</f>
        <v>478.26</v>
      </c>
      <c r="E16" s="133"/>
      <c r="F16" s="145"/>
      <c r="G16" s="144">
        <v>98.33</v>
      </c>
      <c r="H16" s="142"/>
      <c r="I16" s="133"/>
      <c r="J16" s="176">
        <v>90</v>
      </c>
      <c r="K16" s="134">
        <v>245.22000000000003</v>
      </c>
      <c r="L16" s="134">
        <v>0</v>
      </c>
      <c r="M16" s="134">
        <v>245.22000000000003</v>
      </c>
      <c r="N16" s="134">
        <v>155.22000000000003</v>
      </c>
      <c r="P16" s="133"/>
      <c r="Q16" s="134">
        <v>382</v>
      </c>
      <c r="R16" s="134">
        <v>589.41999999999996</v>
      </c>
      <c r="T16" s="133"/>
      <c r="U16" s="134">
        <v>515</v>
      </c>
      <c r="V16" s="134">
        <v>943.23000000000013</v>
      </c>
      <c r="W16" s="135">
        <f t="shared" ref="W16:W34" si="6">U16-V16</f>
        <v>-428.23000000000013</v>
      </c>
      <c r="X16" s="133"/>
      <c r="Y16" s="206">
        <v>550</v>
      </c>
      <c r="Z16" s="134">
        <f>'Income and Expenditure'!F76</f>
        <v>1671.0600000000004</v>
      </c>
      <c r="AA16" s="134">
        <v>0</v>
      </c>
      <c r="AB16" s="134">
        <f t="shared" ref="AB16:AB33" si="7">Z16+AA16</f>
        <v>1671.0600000000004</v>
      </c>
      <c r="AC16" s="134">
        <f t="shared" ref="AC16:AC34" si="8">Y16-ZB16</f>
        <v>550</v>
      </c>
      <c r="AE16" s="133"/>
      <c r="AF16" s="257">
        <v>500</v>
      </c>
    </row>
    <row r="17" spans="1:33" ht="30" x14ac:dyDescent="0.25">
      <c r="A17" s="142" t="s">
        <v>11</v>
      </c>
      <c r="B17" s="145">
        <f>2112+310</f>
        <v>2422</v>
      </c>
      <c r="C17" s="144">
        <v>3711.11</v>
      </c>
      <c r="D17" s="253">
        <f t="shared" si="5"/>
        <v>1289.1100000000001</v>
      </c>
      <c r="E17" s="133"/>
      <c r="F17" s="145"/>
      <c r="G17" s="144">
        <v>300</v>
      </c>
      <c r="H17" s="142"/>
      <c r="I17" s="133"/>
      <c r="J17" s="176">
        <v>3785.3322000000003</v>
      </c>
      <c r="K17" s="134">
        <v>1080</v>
      </c>
      <c r="L17" s="134">
        <v>0</v>
      </c>
      <c r="M17" s="134">
        <v>1080</v>
      </c>
      <c r="N17" s="134">
        <v>-2705.3322000000003</v>
      </c>
      <c r="O17" s="132" t="s">
        <v>92</v>
      </c>
      <c r="P17" s="133"/>
      <c r="Q17" s="134">
        <v>1820</v>
      </c>
      <c r="R17" s="134">
        <v>1440</v>
      </c>
      <c r="T17" s="133"/>
      <c r="U17" s="134">
        <v>1778.8</v>
      </c>
      <c r="V17" s="134">
        <v>4820</v>
      </c>
      <c r="W17" s="135">
        <f t="shared" si="6"/>
        <v>-3041.2</v>
      </c>
      <c r="X17" s="133"/>
      <c r="Y17" s="206">
        <f>3520+310</f>
        <v>3830</v>
      </c>
      <c r="Z17" s="134">
        <f>'Income and Expenditure'!G76</f>
        <v>3217.16</v>
      </c>
      <c r="AA17" s="134">
        <v>0</v>
      </c>
      <c r="AB17" s="134">
        <f t="shared" si="7"/>
        <v>3217.16</v>
      </c>
      <c r="AC17" s="134">
        <f t="shared" si="8"/>
        <v>3830</v>
      </c>
      <c r="AD17" t="s">
        <v>120</v>
      </c>
      <c r="AE17" s="133"/>
      <c r="AF17" s="257">
        <f>AB17*$AH$15</f>
        <v>3378.018</v>
      </c>
    </row>
    <row r="18" spans="1:33" ht="60" x14ac:dyDescent="0.25">
      <c r="A18" s="142" t="s">
        <v>48</v>
      </c>
      <c r="B18" s="145">
        <v>220</v>
      </c>
      <c r="C18" s="144">
        <v>291.36</v>
      </c>
      <c r="D18" s="253">
        <f t="shared" si="5"/>
        <v>71.360000000000014</v>
      </c>
      <c r="E18" s="133"/>
      <c r="F18" s="145"/>
      <c r="G18" s="144">
        <v>456.31</v>
      </c>
      <c r="H18" s="142"/>
      <c r="I18" s="133"/>
      <c r="J18" s="176">
        <v>374.55</v>
      </c>
      <c r="K18" s="134">
        <v>37.5</v>
      </c>
      <c r="L18" s="134">
        <v>0</v>
      </c>
      <c r="M18" s="134">
        <v>37.5</v>
      </c>
      <c r="N18" s="134">
        <v>-337.05</v>
      </c>
      <c r="O18" s="132" t="s">
        <v>84</v>
      </c>
      <c r="P18" s="133"/>
      <c r="Q18" s="134">
        <v>389.68182000000002</v>
      </c>
      <c r="R18" s="134">
        <v>60.8</v>
      </c>
      <c r="T18" s="133"/>
      <c r="U18" s="134">
        <v>62.015999999999998</v>
      </c>
      <c r="V18" s="134">
        <v>78.539999999999992</v>
      </c>
      <c r="W18" s="135">
        <f t="shared" si="6"/>
        <v>-16.523999999999994</v>
      </c>
      <c r="X18" s="133"/>
      <c r="Y18" s="206">
        <v>82.47</v>
      </c>
      <c r="Z18" s="134">
        <f>'Income and Expenditure'!H76</f>
        <v>91.65</v>
      </c>
      <c r="AA18" s="134">
        <v>0</v>
      </c>
      <c r="AB18" s="134">
        <f t="shared" si="7"/>
        <v>91.65</v>
      </c>
      <c r="AC18" s="134">
        <f t="shared" si="8"/>
        <v>82.47</v>
      </c>
      <c r="AE18" s="133"/>
      <c r="AF18" s="257">
        <f t="shared" ref="AF18:AF33" si="9">AB18*$AH$15</f>
        <v>96.232500000000016</v>
      </c>
    </row>
    <row r="19" spans="1:33" x14ac:dyDescent="0.25">
      <c r="A19" s="142" t="s">
        <v>30</v>
      </c>
      <c r="B19" s="145">
        <f>280+220</f>
        <v>500</v>
      </c>
      <c r="C19" s="144">
        <v>182.79</v>
      </c>
      <c r="D19" s="253">
        <f t="shared" si="5"/>
        <v>-317.21000000000004</v>
      </c>
      <c r="E19" s="133"/>
      <c r="F19" s="145"/>
      <c r="G19" s="144">
        <v>354.38</v>
      </c>
      <c r="H19" s="142"/>
      <c r="I19" s="133"/>
      <c r="J19" s="176">
        <v>361.47</v>
      </c>
      <c r="K19" s="134">
        <v>310.45999999999998</v>
      </c>
      <c r="L19" s="134">
        <v>0</v>
      </c>
      <c r="M19" s="134">
        <v>310.45999999999998</v>
      </c>
      <c r="N19" s="134">
        <v>-51.010000000000048</v>
      </c>
      <c r="O19" s="132" t="s">
        <v>91</v>
      </c>
      <c r="P19" s="133"/>
      <c r="Q19" s="134">
        <v>168.2</v>
      </c>
      <c r="R19" s="134">
        <v>118.2</v>
      </c>
      <c r="T19" s="133"/>
      <c r="U19" s="134">
        <v>50</v>
      </c>
      <c r="V19" s="134">
        <v>0</v>
      </c>
      <c r="W19" s="135">
        <f t="shared" si="6"/>
        <v>50</v>
      </c>
      <c r="X19" s="133"/>
      <c r="Y19" s="206">
        <v>0</v>
      </c>
      <c r="Z19" s="134">
        <f>'Income and Expenditure'!I76</f>
        <v>0</v>
      </c>
      <c r="AA19" s="134">
        <v>0</v>
      </c>
      <c r="AB19" s="134">
        <f t="shared" si="7"/>
        <v>0</v>
      </c>
      <c r="AC19" s="134">
        <f t="shared" si="8"/>
        <v>0</v>
      </c>
      <c r="AE19" s="133"/>
      <c r="AF19" s="257">
        <f t="shared" si="9"/>
        <v>0</v>
      </c>
    </row>
    <row r="20" spans="1:33" ht="45" x14ac:dyDescent="0.25">
      <c r="A20" s="142" t="s">
        <v>83</v>
      </c>
      <c r="B20" s="145">
        <v>1989.36</v>
      </c>
      <c r="C20" s="144">
        <v>2097.36</v>
      </c>
      <c r="D20" s="253">
        <f t="shared" si="5"/>
        <v>108.00000000000023</v>
      </c>
      <c r="E20" s="133"/>
      <c r="F20" s="145"/>
      <c r="G20" s="144">
        <f>2157.71+312.4</f>
        <v>2470.11</v>
      </c>
      <c r="H20" s="142"/>
      <c r="I20" s="133"/>
      <c r="J20" s="176">
        <v>2461.4639999999999</v>
      </c>
      <c r="K20" s="134">
        <v>3083.0522522522519</v>
      </c>
      <c r="L20" s="134">
        <v>0</v>
      </c>
      <c r="M20" s="134">
        <v>3083.0522522522519</v>
      </c>
      <c r="N20" s="134">
        <v>621.588252252252</v>
      </c>
      <c r="O20" s="132" t="s">
        <v>85</v>
      </c>
      <c r="P20" s="133"/>
      <c r="Q20" s="134">
        <v>3144.7132972972972</v>
      </c>
      <c r="R20" s="134">
        <v>3095.06</v>
      </c>
      <c r="T20" s="133"/>
      <c r="U20" s="134">
        <v>3357.2541000000001</v>
      </c>
      <c r="V20" s="134">
        <v>3580.1399999999994</v>
      </c>
      <c r="W20" s="135">
        <f t="shared" si="6"/>
        <v>-222.88589999999931</v>
      </c>
      <c r="X20" s="133"/>
      <c r="Y20" s="206">
        <v>3837.06</v>
      </c>
      <c r="Z20" s="134">
        <f>'Income and Expenditure'!J76</f>
        <v>3992.48</v>
      </c>
      <c r="AA20" s="134">
        <v>0</v>
      </c>
      <c r="AB20" s="134">
        <f t="shared" si="7"/>
        <v>3992.48</v>
      </c>
      <c r="AC20" s="134">
        <f t="shared" si="8"/>
        <v>3837.06</v>
      </c>
      <c r="AE20" s="133"/>
      <c r="AF20" s="257">
        <f t="shared" si="9"/>
        <v>4192.1040000000003</v>
      </c>
    </row>
    <row r="21" spans="1:33" x14ac:dyDescent="0.25">
      <c r="A21" s="142" t="s">
        <v>12</v>
      </c>
      <c r="B21" s="145">
        <v>300</v>
      </c>
      <c r="C21" s="144">
        <v>300</v>
      </c>
      <c r="D21" s="253">
        <f t="shared" si="5"/>
        <v>0</v>
      </c>
      <c r="E21" s="133"/>
      <c r="F21" s="145"/>
      <c r="G21" s="144">
        <v>300</v>
      </c>
      <c r="H21" s="142"/>
      <c r="I21" s="133"/>
      <c r="J21" s="176">
        <v>306</v>
      </c>
      <c r="K21" s="134">
        <v>300</v>
      </c>
      <c r="L21" s="134">
        <v>0</v>
      </c>
      <c r="M21" s="134">
        <v>300</v>
      </c>
      <c r="N21" s="134">
        <v>-6</v>
      </c>
      <c r="P21" s="133"/>
      <c r="Q21" s="134">
        <v>360</v>
      </c>
      <c r="R21" s="134">
        <v>360</v>
      </c>
      <c r="T21" s="133"/>
      <c r="U21" s="134">
        <v>360</v>
      </c>
      <c r="V21" s="134">
        <v>360</v>
      </c>
      <c r="W21" s="135">
        <f t="shared" si="6"/>
        <v>0</v>
      </c>
      <c r="X21" s="133"/>
      <c r="Y21" s="206">
        <v>360</v>
      </c>
      <c r="Z21" s="134">
        <f>'Income and Expenditure'!K76</f>
        <v>362.49</v>
      </c>
      <c r="AA21" s="134">
        <v>0</v>
      </c>
      <c r="AB21" s="134">
        <f t="shared" si="7"/>
        <v>362.49</v>
      </c>
      <c r="AC21" s="134">
        <f t="shared" si="8"/>
        <v>360</v>
      </c>
      <c r="AD21" t="s">
        <v>122</v>
      </c>
      <c r="AE21" s="133"/>
      <c r="AF21" s="257">
        <f t="shared" si="9"/>
        <v>380.61450000000002</v>
      </c>
    </row>
    <row r="22" spans="1:33" ht="60" x14ac:dyDescent="0.25">
      <c r="A22" s="142" t="s">
        <v>188</v>
      </c>
      <c r="B22" s="145">
        <v>240</v>
      </c>
      <c r="C22" s="144">
        <v>240</v>
      </c>
      <c r="D22" s="253">
        <f t="shared" si="5"/>
        <v>0</v>
      </c>
      <c r="E22" s="133"/>
      <c r="F22" s="145"/>
      <c r="G22" s="144">
        <v>240</v>
      </c>
      <c r="H22" s="142"/>
      <c r="I22" s="133"/>
      <c r="J22" s="176">
        <v>244.8</v>
      </c>
      <c r="K22" s="134">
        <v>240</v>
      </c>
      <c r="L22" s="134">
        <v>0</v>
      </c>
      <c r="M22" s="134">
        <v>240</v>
      </c>
      <c r="N22" s="134">
        <v>-4.8000000000000114</v>
      </c>
      <c r="P22" s="133"/>
      <c r="Q22" s="134">
        <v>244.8</v>
      </c>
      <c r="R22" s="134">
        <v>120</v>
      </c>
      <c r="T22" s="133"/>
      <c r="U22" s="134">
        <v>0</v>
      </c>
      <c r="V22" s="134">
        <v>0</v>
      </c>
      <c r="W22" s="135">
        <f t="shared" si="6"/>
        <v>0</v>
      </c>
      <c r="X22" s="133"/>
      <c r="Y22" s="206">
        <f>(37.65*12)+75</f>
        <v>526.79999999999995</v>
      </c>
      <c r="Z22" s="134">
        <f>'Income and Expenditure'!L76</f>
        <v>1119.8499999999999</v>
      </c>
      <c r="AA22" s="134">
        <v>0</v>
      </c>
      <c r="AB22" s="134">
        <f t="shared" si="7"/>
        <v>1119.8499999999999</v>
      </c>
      <c r="AC22" s="134">
        <f t="shared" si="8"/>
        <v>526.79999999999995</v>
      </c>
      <c r="AD22" s="132" t="s">
        <v>123</v>
      </c>
      <c r="AE22" s="133"/>
      <c r="AF22" s="257">
        <f t="shared" si="9"/>
        <v>1175.8425</v>
      </c>
    </row>
    <row r="23" spans="1:33" x14ac:dyDescent="0.25">
      <c r="A23" s="142" t="s">
        <v>13</v>
      </c>
      <c r="B23" s="145">
        <v>465</v>
      </c>
      <c r="C23" s="144">
        <v>409.89</v>
      </c>
      <c r="D23" s="253">
        <f t="shared" si="5"/>
        <v>-55.110000000000014</v>
      </c>
      <c r="E23" s="133"/>
      <c r="F23" s="145"/>
      <c r="G23" s="144">
        <v>402.3</v>
      </c>
      <c r="H23" s="142"/>
      <c r="I23" s="133"/>
      <c r="J23" s="176">
        <v>410.35</v>
      </c>
      <c r="K23" s="134">
        <v>406.42</v>
      </c>
      <c r="L23" s="134">
        <v>0</v>
      </c>
      <c r="M23" s="134">
        <v>406.42</v>
      </c>
      <c r="N23" s="134">
        <v>-3.9300000000000068</v>
      </c>
      <c r="P23" s="133"/>
      <c r="Q23" s="134">
        <v>414.54840000000002</v>
      </c>
      <c r="R23" s="134">
        <v>410.77</v>
      </c>
      <c r="T23" s="133"/>
      <c r="U23" s="134">
        <v>423.09</v>
      </c>
      <c r="V23" s="134">
        <v>453.74</v>
      </c>
      <c r="W23" s="135">
        <f t="shared" si="6"/>
        <v>-30.650000000000034</v>
      </c>
      <c r="X23" s="133"/>
      <c r="Y23" s="206">
        <v>476.42</v>
      </c>
      <c r="Z23" s="134">
        <f>'Income and Expenditure'!M76</f>
        <v>432.58</v>
      </c>
      <c r="AA23" s="134">
        <v>0</v>
      </c>
      <c r="AB23" s="134">
        <f t="shared" si="7"/>
        <v>432.58</v>
      </c>
      <c r="AC23" s="134">
        <f t="shared" si="8"/>
        <v>476.42</v>
      </c>
      <c r="AE23" s="133"/>
      <c r="AF23" s="257">
        <f t="shared" si="9"/>
        <v>454.209</v>
      </c>
    </row>
    <row r="24" spans="1:33" ht="45" x14ac:dyDescent="0.25">
      <c r="A24" s="142" t="s">
        <v>62</v>
      </c>
      <c r="B24" s="145">
        <v>25</v>
      </c>
      <c r="C24" s="144">
        <v>261.89999999999998</v>
      </c>
      <c r="D24" s="253">
        <f t="shared" si="5"/>
        <v>236.89999999999998</v>
      </c>
      <c r="E24" s="133"/>
      <c r="F24" s="145"/>
      <c r="G24" s="144">
        <v>37</v>
      </c>
      <c r="H24" s="142"/>
      <c r="I24" s="133"/>
      <c r="J24" s="176">
        <v>37.74</v>
      </c>
      <c r="K24" s="134">
        <v>0</v>
      </c>
      <c r="L24" s="134">
        <v>0</v>
      </c>
      <c r="M24" s="134">
        <v>0</v>
      </c>
      <c r="N24" s="134">
        <v>-37.74</v>
      </c>
      <c r="O24" s="132" t="s">
        <v>86</v>
      </c>
      <c r="P24" s="133"/>
      <c r="Q24" s="134">
        <v>38.494800000000005</v>
      </c>
      <c r="R24" s="134">
        <v>17</v>
      </c>
      <c r="T24" s="133"/>
      <c r="U24" s="134">
        <v>17.510000000000002</v>
      </c>
      <c r="V24" s="134">
        <v>13.6</v>
      </c>
      <c r="W24" s="135">
        <f t="shared" si="6"/>
        <v>3.9100000000000019</v>
      </c>
      <c r="X24" s="133"/>
      <c r="Y24" s="206">
        <v>22</v>
      </c>
      <c r="Z24" s="134">
        <f>'Income and Expenditure'!N76</f>
        <v>18.32</v>
      </c>
      <c r="AA24" s="134">
        <v>0</v>
      </c>
      <c r="AB24" s="134">
        <f t="shared" si="7"/>
        <v>18.32</v>
      </c>
      <c r="AC24" s="134">
        <f t="shared" si="8"/>
        <v>22</v>
      </c>
      <c r="AE24" s="133"/>
      <c r="AF24" s="257">
        <f t="shared" si="9"/>
        <v>19.236000000000001</v>
      </c>
    </row>
    <row r="25" spans="1:33" x14ac:dyDescent="0.25">
      <c r="A25" s="142" t="s">
        <v>94</v>
      </c>
      <c r="B25" s="145"/>
      <c r="C25" s="144"/>
      <c r="D25" s="253">
        <f t="shared" si="5"/>
        <v>0</v>
      </c>
      <c r="E25" s="133"/>
      <c r="F25" s="145"/>
      <c r="G25" s="144">
        <v>200</v>
      </c>
      <c r="H25" s="142"/>
      <c r="I25" s="133"/>
      <c r="J25" s="176">
        <v>515.1</v>
      </c>
      <c r="K25" s="134">
        <v>122.98</v>
      </c>
      <c r="L25" s="134">
        <v>0</v>
      </c>
      <c r="M25" s="134">
        <v>122.98</v>
      </c>
      <c r="N25" s="134">
        <v>-392.12</v>
      </c>
      <c r="P25" s="133"/>
      <c r="Q25" s="134">
        <v>125.43960000000001</v>
      </c>
      <c r="R25" s="134">
        <v>162.4</v>
      </c>
      <c r="T25" s="133"/>
      <c r="U25" s="134">
        <v>179.44</v>
      </c>
      <c r="V25" s="134">
        <v>191.14999999999998</v>
      </c>
      <c r="W25" s="135">
        <f t="shared" si="6"/>
        <v>-11.70999999999998</v>
      </c>
      <c r="X25" s="133"/>
      <c r="Y25" s="206">
        <v>111.36</v>
      </c>
      <c r="Z25" s="134">
        <f>'Income and Expenditure'!O76</f>
        <v>220.53</v>
      </c>
      <c r="AA25" s="134">
        <v>0</v>
      </c>
      <c r="AB25" s="134">
        <f t="shared" si="7"/>
        <v>220.53</v>
      </c>
      <c r="AC25" s="134">
        <f t="shared" si="8"/>
        <v>111.36</v>
      </c>
      <c r="AD25" t="s">
        <v>233</v>
      </c>
      <c r="AE25" s="133"/>
      <c r="AF25" s="257">
        <f t="shared" si="9"/>
        <v>231.5565</v>
      </c>
    </row>
    <row r="26" spans="1:33" ht="30" x14ac:dyDescent="0.25">
      <c r="A26" s="142" t="s">
        <v>51</v>
      </c>
      <c r="B26" s="145">
        <v>98</v>
      </c>
      <c r="C26" s="144"/>
      <c r="D26" s="253">
        <f t="shared" si="5"/>
        <v>-98</v>
      </c>
      <c r="E26" s="133"/>
      <c r="F26" s="145"/>
      <c r="G26" s="144">
        <v>100</v>
      </c>
      <c r="H26" s="142"/>
      <c r="I26" s="133"/>
      <c r="J26" s="176">
        <v>214.2</v>
      </c>
      <c r="K26" s="134">
        <v>179.4</v>
      </c>
      <c r="L26" s="134">
        <v>0</v>
      </c>
      <c r="M26" s="134">
        <v>179.4</v>
      </c>
      <c r="N26" s="134">
        <v>-34.799999999999983</v>
      </c>
      <c r="P26" s="133"/>
      <c r="Q26" s="134">
        <v>218.48399999999998</v>
      </c>
      <c r="R26" s="134">
        <v>207.53</v>
      </c>
      <c r="T26" s="133"/>
      <c r="U26" s="134">
        <v>213.76</v>
      </c>
      <c r="V26" s="134">
        <v>108.61</v>
      </c>
      <c r="W26" s="135">
        <f t="shared" si="6"/>
        <v>105.14999999999999</v>
      </c>
      <c r="X26" s="133"/>
      <c r="Y26" s="206">
        <v>114.04</v>
      </c>
      <c r="Z26" s="134">
        <f>'Income and Expenditure'!W76</f>
        <v>186.81</v>
      </c>
      <c r="AA26" s="134"/>
      <c r="AB26" s="134">
        <f t="shared" si="7"/>
        <v>186.81</v>
      </c>
      <c r="AC26" s="134">
        <f t="shared" si="8"/>
        <v>114.04</v>
      </c>
      <c r="AD26" t="s">
        <v>234</v>
      </c>
      <c r="AE26" s="133"/>
      <c r="AF26" s="257">
        <f t="shared" si="9"/>
        <v>196.15050000000002</v>
      </c>
    </row>
    <row r="27" spans="1:33" ht="45" x14ac:dyDescent="0.25">
      <c r="A27" s="142" t="s">
        <v>95</v>
      </c>
      <c r="B27" s="145">
        <v>90</v>
      </c>
      <c r="C27" s="144"/>
      <c r="D27" s="253">
        <f t="shared" si="5"/>
        <v>-90</v>
      </c>
      <c r="E27" s="133"/>
      <c r="F27" s="145"/>
      <c r="G27" s="144"/>
      <c r="H27" s="142"/>
      <c r="I27" s="133"/>
      <c r="J27" s="178"/>
      <c r="K27" s="134">
        <v>71.94</v>
      </c>
      <c r="L27" s="134">
        <v>0</v>
      </c>
      <c r="M27" s="134">
        <v>71.94</v>
      </c>
      <c r="N27" s="134">
        <v>71.94</v>
      </c>
      <c r="P27" s="133"/>
      <c r="Q27" s="134">
        <v>100</v>
      </c>
      <c r="R27" s="134">
        <v>11.99</v>
      </c>
      <c r="T27" s="133"/>
      <c r="U27" s="134">
        <v>115.35</v>
      </c>
      <c r="V27" s="134">
        <v>90</v>
      </c>
      <c r="W27" s="135">
        <f t="shared" si="6"/>
        <v>25.349999999999994</v>
      </c>
      <c r="X27" s="133"/>
      <c r="Y27" s="206">
        <v>173.25</v>
      </c>
      <c r="Z27" s="134">
        <f>'Income and Expenditure'!R76</f>
        <v>90</v>
      </c>
      <c r="AA27" s="134">
        <v>0</v>
      </c>
      <c r="AB27" s="134">
        <f t="shared" si="7"/>
        <v>90</v>
      </c>
      <c r="AC27" s="134">
        <f t="shared" si="8"/>
        <v>173.25</v>
      </c>
      <c r="AE27" s="133"/>
      <c r="AF27" s="257">
        <v>0</v>
      </c>
    </row>
    <row r="28" spans="1:33" x14ac:dyDescent="0.25">
      <c r="A28" s="142" t="s">
        <v>64</v>
      </c>
      <c r="B28" s="145"/>
      <c r="C28" s="144">
        <v>113</v>
      </c>
      <c r="D28" s="253">
        <f t="shared" si="5"/>
        <v>113</v>
      </c>
      <c r="E28" s="133"/>
      <c r="F28" s="145"/>
      <c r="G28" s="144"/>
      <c r="H28" s="142"/>
      <c r="I28" s="133"/>
      <c r="J28" s="178"/>
      <c r="K28" s="134">
        <v>51.99</v>
      </c>
      <c r="L28" s="134">
        <v>0</v>
      </c>
      <c r="M28" s="134">
        <v>51.99</v>
      </c>
      <c r="N28" s="134">
        <v>51.99</v>
      </c>
      <c r="P28" s="133"/>
      <c r="Q28" s="134">
        <v>53.029800000000002</v>
      </c>
      <c r="R28" s="134">
        <v>0</v>
      </c>
      <c r="T28" s="133"/>
      <c r="U28" s="134">
        <v>54.62</v>
      </c>
      <c r="V28" s="134">
        <v>188.99</v>
      </c>
      <c r="W28" s="135">
        <f t="shared" si="6"/>
        <v>-134.37</v>
      </c>
      <c r="X28" s="133"/>
      <c r="Y28" s="206">
        <v>57.35</v>
      </c>
      <c r="Z28" s="134">
        <f>'Income and Expenditure'!P76</f>
        <v>0</v>
      </c>
      <c r="AA28" s="134">
        <v>0</v>
      </c>
      <c r="AB28" s="134">
        <f t="shared" si="7"/>
        <v>0</v>
      </c>
      <c r="AC28" s="134">
        <f t="shared" si="8"/>
        <v>57.35</v>
      </c>
      <c r="AD28" t="s">
        <v>235</v>
      </c>
      <c r="AE28" s="133"/>
      <c r="AF28" s="257">
        <f t="shared" si="9"/>
        <v>0</v>
      </c>
    </row>
    <row r="29" spans="1:33" x14ac:dyDescent="0.25">
      <c r="A29" s="142" t="s">
        <v>93</v>
      </c>
      <c r="B29" s="145"/>
      <c r="C29" s="144"/>
      <c r="D29" s="253"/>
      <c r="E29" s="133"/>
      <c r="F29" s="145"/>
      <c r="G29" s="144"/>
      <c r="H29" s="142"/>
      <c r="I29" s="133"/>
      <c r="J29" s="178"/>
      <c r="K29" s="134">
        <v>4810</v>
      </c>
      <c r="L29" s="134">
        <v>0</v>
      </c>
      <c r="M29" s="134">
        <v>4810</v>
      </c>
      <c r="N29" s="134"/>
      <c r="O29" s="132" t="s">
        <v>97</v>
      </c>
      <c r="P29" s="133"/>
      <c r="Q29" s="134"/>
      <c r="R29" s="134">
        <v>721.05</v>
      </c>
      <c r="T29" s="133"/>
      <c r="U29" s="134">
        <v>0</v>
      </c>
      <c r="V29" s="134">
        <v>0</v>
      </c>
      <c r="W29" s="135">
        <f t="shared" si="6"/>
        <v>0</v>
      </c>
      <c r="X29" s="133"/>
      <c r="Y29" s="206">
        <v>0</v>
      </c>
      <c r="Z29" s="134">
        <f>'Income and Expenditure'!S76</f>
        <v>0</v>
      </c>
      <c r="AA29" s="134">
        <v>0</v>
      </c>
      <c r="AB29" s="134">
        <f t="shared" si="7"/>
        <v>0</v>
      </c>
      <c r="AC29" s="134">
        <f t="shared" si="8"/>
        <v>0</v>
      </c>
      <c r="AE29" s="133"/>
      <c r="AF29" s="257">
        <f t="shared" si="9"/>
        <v>0</v>
      </c>
    </row>
    <row r="30" spans="1:33" ht="45" x14ac:dyDescent="0.25">
      <c r="A30" s="142" t="s">
        <v>61</v>
      </c>
      <c r="B30" s="145">
        <v>145</v>
      </c>
      <c r="C30" s="144"/>
      <c r="D30" s="253">
        <f t="shared" si="5"/>
        <v>-145</v>
      </c>
      <c r="E30" s="133"/>
      <c r="F30" s="145"/>
      <c r="G30" s="144"/>
      <c r="H30" s="142"/>
      <c r="I30" s="133"/>
      <c r="J30" s="178"/>
      <c r="K30" s="134">
        <v>0</v>
      </c>
      <c r="L30" s="134">
        <v>0</v>
      </c>
      <c r="M30" s="134">
        <v>0</v>
      </c>
      <c r="N30" s="134">
        <v>0</v>
      </c>
      <c r="O30" s="132" t="s">
        <v>98</v>
      </c>
      <c r="P30" s="133"/>
      <c r="Q30" s="134">
        <v>443.7</v>
      </c>
      <c r="R30" s="134">
        <v>354.12</v>
      </c>
      <c r="T30" s="133"/>
      <c r="U30" s="134">
        <v>124.01200000000001</v>
      </c>
      <c r="V30" s="134">
        <v>118.04</v>
      </c>
      <c r="W30" s="135">
        <f t="shared" si="6"/>
        <v>5.9720000000000084</v>
      </c>
      <c r="X30" s="133"/>
      <c r="Y30" s="206">
        <v>130.21</v>
      </c>
      <c r="Z30" s="134">
        <f>'Income and Expenditure'!Q76</f>
        <v>118.04</v>
      </c>
      <c r="AA30" s="134">
        <v>0</v>
      </c>
      <c r="AB30" s="134">
        <f t="shared" si="7"/>
        <v>118.04</v>
      </c>
      <c r="AC30" s="134">
        <f t="shared" si="8"/>
        <v>130.21</v>
      </c>
      <c r="AE30" s="133"/>
      <c r="AF30" s="257">
        <v>0</v>
      </c>
      <c r="AG30" t="s">
        <v>275</v>
      </c>
    </row>
    <row r="31" spans="1:33" x14ac:dyDescent="0.25">
      <c r="A31" s="142" t="s">
        <v>111</v>
      </c>
      <c r="B31" s="185"/>
      <c r="C31" s="186"/>
      <c r="D31" s="253"/>
      <c r="E31" s="133"/>
      <c r="F31" s="185"/>
      <c r="G31" s="186"/>
      <c r="H31" s="187"/>
      <c r="I31" s="133"/>
      <c r="J31" s="178"/>
      <c r="K31" s="188"/>
      <c r="L31" s="188"/>
      <c r="M31" s="134"/>
      <c r="N31" s="134"/>
      <c r="P31" s="133"/>
      <c r="Q31" s="188"/>
      <c r="R31" s="188">
        <v>0</v>
      </c>
      <c r="T31" s="133"/>
      <c r="U31" s="188">
        <v>1408.365</v>
      </c>
      <c r="V31" s="134">
        <v>725</v>
      </c>
      <c r="W31" s="135">
        <f t="shared" si="6"/>
        <v>683.36500000000001</v>
      </c>
      <c r="X31" s="133"/>
      <c r="Y31" s="206">
        <v>0</v>
      </c>
      <c r="Z31" s="134">
        <f>'Balance Sheet'!E37</f>
        <v>0</v>
      </c>
      <c r="AA31" s="134">
        <v>0</v>
      </c>
      <c r="AB31" s="134">
        <f t="shared" si="7"/>
        <v>0</v>
      </c>
      <c r="AC31" s="134">
        <f t="shared" si="8"/>
        <v>0</v>
      </c>
      <c r="AE31" s="133"/>
      <c r="AF31" s="257">
        <f t="shared" si="9"/>
        <v>0</v>
      </c>
    </row>
    <row r="32" spans="1:33" x14ac:dyDescent="0.25">
      <c r="A32" s="142" t="s">
        <v>184</v>
      </c>
      <c r="B32" s="185"/>
      <c r="C32" s="186"/>
      <c r="D32" s="253"/>
      <c r="E32" s="133"/>
      <c r="F32" s="185"/>
      <c r="G32" s="186"/>
      <c r="H32" s="187"/>
      <c r="I32" s="133"/>
      <c r="J32" s="178"/>
      <c r="K32" s="188"/>
      <c r="L32" s="188"/>
      <c r="M32" s="134"/>
      <c r="N32" s="134"/>
      <c r="P32" s="133"/>
      <c r="Q32" s="188"/>
      <c r="R32" s="188"/>
      <c r="T32" s="133"/>
      <c r="U32" s="188"/>
      <c r="V32" s="134"/>
      <c r="W32" s="135">
        <f t="shared" si="6"/>
        <v>0</v>
      </c>
      <c r="X32" s="133"/>
      <c r="Y32" s="206">
        <v>3500</v>
      </c>
      <c r="Z32" s="134">
        <f>'Income and Expenditure'!T76</f>
        <v>4180</v>
      </c>
      <c r="AA32" s="134">
        <v>0</v>
      </c>
      <c r="AB32" s="134">
        <f t="shared" si="7"/>
        <v>4180</v>
      </c>
      <c r="AC32" s="134">
        <f t="shared" si="8"/>
        <v>3500</v>
      </c>
      <c r="AE32" s="133"/>
      <c r="AF32" s="257">
        <v>0</v>
      </c>
    </row>
    <row r="33" spans="1:36" x14ac:dyDescent="0.25">
      <c r="A33" s="142" t="s">
        <v>110</v>
      </c>
      <c r="B33" s="185"/>
      <c r="C33" s="186"/>
      <c r="D33" s="253"/>
      <c r="E33" s="133"/>
      <c r="F33" s="185"/>
      <c r="G33" s="186"/>
      <c r="H33" s="187"/>
      <c r="I33" s="133"/>
      <c r="J33" s="178"/>
      <c r="K33" s="188"/>
      <c r="L33" s="188"/>
      <c r="M33" s="134"/>
      <c r="N33" s="134"/>
      <c r="P33" s="133"/>
      <c r="Q33" s="188">
        <v>0</v>
      </c>
      <c r="R33" s="188">
        <v>430.06</v>
      </c>
      <c r="T33" s="133"/>
      <c r="U33" s="188">
        <v>0</v>
      </c>
      <c r="V33" s="134">
        <v>0</v>
      </c>
      <c r="W33" s="135">
        <f t="shared" si="6"/>
        <v>0</v>
      </c>
      <c r="X33" s="133"/>
      <c r="Y33" s="206">
        <v>0</v>
      </c>
      <c r="Z33" s="134">
        <f>'Income and Expenditure'!V76</f>
        <v>0</v>
      </c>
      <c r="AA33" s="134">
        <v>0</v>
      </c>
      <c r="AB33" s="134">
        <f t="shared" si="7"/>
        <v>0</v>
      </c>
      <c r="AC33" s="134">
        <f t="shared" si="8"/>
        <v>0</v>
      </c>
      <c r="AE33" s="133"/>
      <c r="AF33" s="257">
        <f t="shared" si="9"/>
        <v>0</v>
      </c>
    </row>
    <row r="34" spans="1:36" ht="15.75" thickBot="1" x14ac:dyDescent="0.3">
      <c r="A34" s="114" t="s">
        <v>54</v>
      </c>
      <c r="B34" s="111">
        <f>SUM(B16:B30)</f>
        <v>6494.36</v>
      </c>
      <c r="C34" s="103">
        <f t="shared" ref="C34:H34" si="10">SUM(C16:C30)</f>
        <v>8085.6699999999992</v>
      </c>
      <c r="D34" s="253">
        <f t="shared" si="5"/>
        <v>1591.3099999999995</v>
      </c>
      <c r="E34" s="133"/>
      <c r="F34" s="111">
        <f t="shared" si="10"/>
        <v>0</v>
      </c>
      <c r="G34" s="103">
        <f t="shared" si="10"/>
        <v>4958.43</v>
      </c>
      <c r="H34" s="116">
        <f t="shared" si="10"/>
        <v>0</v>
      </c>
      <c r="I34" s="133"/>
      <c r="J34" s="111">
        <v>8801.0062000000016</v>
      </c>
      <c r="K34" s="103">
        <v>10938.962252252251</v>
      </c>
      <c r="L34" s="103">
        <v>0</v>
      </c>
      <c r="M34" s="102">
        <v>10938.962252252251</v>
      </c>
      <c r="N34" s="134">
        <v>2137.9560522522497</v>
      </c>
      <c r="P34" s="133"/>
      <c r="Q34" s="103">
        <f>SUM(Q15:Q30)</f>
        <v>7903.0917172972968</v>
      </c>
      <c r="R34" s="103">
        <f>SUM(R16:R33)</f>
        <v>8098.4</v>
      </c>
      <c r="S34" s="183"/>
      <c r="T34" s="133"/>
      <c r="U34" s="103">
        <f>SUM(U16:U33)</f>
        <v>8659.2171000000017</v>
      </c>
      <c r="V34" s="103">
        <f>SUM(V16:V33)</f>
        <v>11671.04</v>
      </c>
      <c r="W34" s="135">
        <f t="shared" si="6"/>
        <v>-3011.8228999999992</v>
      </c>
      <c r="X34" s="133"/>
      <c r="Y34" s="103">
        <f>SUM(Y16:Y33)</f>
        <v>13770.960000000001</v>
      </c>
      <c r="Z34" s="103">
        <f>SUM(Z16:Z33)</f>
        <v>15700.970000000001</v>
      </c>
      <c r="AA34" s="102">
        <f>SUM(AA16:AA33)</f>
        <v>0</v>
      </c>
      <c r="AB34" s="102">
        <f>SUM(AB16:AB33)</f>
        <v>15700.970000000001</v>
      </c>
      <c r="AC34" s="134">
        <f t="shared" si="8"/>
        <v>13770.960000000001</v>
      </c>
      <c r="AE34" s="133"/>
      <c r="AF34" s="257">
        <f>SUM(AF16:AF33)</f>
        <v>10623.963500000003</v>
      </c>
    </row>
    <row r="36" spans="1:36" ht="30" x14ac:dyDescent="0.25">
      <c r="A36" s="150" t="s">
        <v>74</v>
      </c>
      <c r="B36" s="151" t="s">
        <v>75</v>
      </c>
      <c r="C36" s="152">
        <f>C12-C34</f>
        <v>-1187.6699999999992</v>
      </c>
      <c r="F36" s="151" t="s">
        <v>75</v>
      </c>
      <c r="G36" s="153">
        <f>G12-G34</f>
        <v>7215.6399999999994</v>
      </c>
      <c r="H36" s="150"/>
      <c r="J36" s="151" t="s">
        <v>75</v>
      </c>
      <c r="K36" s="153">
        <f>K12-K34</f>
        <v>1432.8577477477484</v>
      </c>
      <c r="L36" s="179"/>
      <c r="M36" s="180">
        <v>1432.8577477477484</v>
      </c>
      <c r="Q36" s="170">
        <f>Q12-Q34</f>
        <v>582.24828270270336</v>
      </c>
      <c r="R36" s="170">
        <f>R12-R34</f>
        <v>944.95000000000073</v>
      </c>
      <c r="S36" s="170"/>
      <c r="U36" s="170">
        <f>U12-U34</f>
        <v>513.93289999999797</v>
      </c>
      <c r="V36" s="211">
        <f>V12-V34</f>
        <v>-1287.0300000000007</v>
      </c>
      <c r="W36" s="211"/>
      <c r="Y36" s="211">
        <f>Y12-Y34</f>
        <v>-3173.8100000000013</v>
      </c>
      <c r="Z36" s="277">
        <f>Z12-Z34</f>
        <v>-465.09000000000196</v>
      </c>
      <c r="AA36" s="153">
        <f>AA12-AA34</f>
        <v>0</v>
      </c>
      <c r="AB36" s="170">
        <f>AB12-AB34</f>
        <v>-465.09000000000196</v>
      </c>
      <c r="AC36" s="170"/>
      <c r="AF36" s="170">
        <f>AF12-AF34</f>
        <v>2526.1864999999962</v>
      </c>
    </row>
    <row r="37" spans="1:36" x14ac:dyDescent="0.25">
      <c r="K37"/>
    </row>
    <row r="38" spans="1:36" s="139" customFormat="1" ht="30" x14ac:dyDescent="0.25">
      <c r="A38" s="150" t="s">
        <v>87</v>
      </c>
      <c r="C38" s="140">
        <v>3921.81</v>
      </c>
      <c r="E38" s="141"/>
      <c r="G38" s="139">
        <v>2734.14</v>
      </c>
      <c r="H38" s="138"/>
      <c r="I38" s="141"/>
      <c r="K38" s="139">
        <f>G40</f>
        <v>9949.7799999999988</v>
      </c>
      <c r="M38" s="139">
        <v>9949.7799999999988</v>
      </c>
      <c r="O38" s="181"/>
      <c r="P38" s="141"/>
      <c r="Q38" s="139">
        <f>$K$40</f>
        <v>11382.637747747747</v>
      </c>
      <c r="R38" s="139">
        <f>K40</f>
        <v>11382.637747747747</v>
      </c>
      <c r="T38" s="141"/>
      <c r="U38" s="139">
        <f>R40</f>
        <v>12327.58774774775</v>
      </c>
      <c r="V38" s="139">
        <f>R40</f>
        <v>12327.58774774775</v>
      </c>
      <c r="X38" s="141"/>
      <c r="Y38" s="139">
        <f>V40</f>
        <v>11040.557747747749</v>
      </c>
      <c r="Z38" s="139">
        <f>V40</f>
        <v>11040.557747747749</v>
      </c>
      <c r="AA38" s="139">
        <f>Y40</f>
        <v>0</v>
      </c>
      <c r="AB38" s="139">
        <f>Z40</f>
        <v>10575.467747747745</v>
      </c>
      <c r="AE38" s="141"/>
      <c r="AF38" s="139">
        <f>AB40</f>
        <v>9963.3777477477433</v>
      </c>
    </row>
    <row r="39" spans="1:36" s="139" customFormat="1" ht="60" x14ac:dyDescent="0.25">
      <c r="A39" s="150" t="s">
        <v>112</v>
      </c>
      <c r="C39" s="140"/>
      <c r="E39" s="141"/>
      <c r="H39" s="138"/>
      <c r="I39" s="141"/>
      <c r="O39" s="181"/>
      <c r="P39" s="141"/>
      <c r="T39" s="141"/>
      <c r="X39" s="141"/>
      <c r="AA39" s="139">
        <f>1000-179-300-275-99</f>
        <v>147</v>
      </c>
      <c r="AB39" s="139">
        <f>1000-179-300-275-99</f>
        <v>147</v>
      </c>
      <c r="AD39" s="181" t="s">
        <v>189</v>
      </c>
      <c r="AE39" s="141"/>
      <c r="AF39" s="139">
        <f>200+500</f>
        <v>700</v>
      </c>
      <c r="AG39" s="181" t="s">
        <v>239</v>
      </c>
      <c r="AJ39" s="139" t="s">
        <v>241</v>
      </c>
    </row>
    <row r="40" spans="1:36" s="139" customFormat="1" ht="45.75" thickBot="1" x14ac:dyDescent="0.3">
      <c r="A40" s="150" t="s">
        <v>88</v>
      </c>
      <c r="C40" s="129">
        <f>C38+C12-C34</f>
        <v>2734.1400000000003</v>
      </c>
      <c r="E40" s="141"/>
      <c r="G40" s="125">
        <f>G38+G12-G34</f>
        <v>9949.7799999999988</v>
      </c>
      <c r="H40" s="138"/>
      <c r="I40" s="141"/>
      <c r="K40" s="125">
        <f>K38+K12-K34</f>
        <v>11382.637747747747</v>
      </c>
      <c r="L40" s="126" t="s">
        <v>89</v>
      </c>
      <c r="M40" s="125">
        <v>11382.637747747747</v>
      </c>
      <c r="O40" s="181"/>
      <c r="P40" s="141"/>
      <c r="Q40" s="278">
        <f>Q12-Q34+$AB$38</f>
        <v>11157.716030450449</v>
      </c>
      <c r="R40" s="125">
        <f>R38+R12-R34</f>
        <v>12327.58774774775</v>
      </c>
      <c r="S40" s="182"/>
      <c r="T40" s="141"/>
      <c r="U40" s="279">
        <f>U38+U36</f>
        <v>12841.520647747748</v>
      </c>
      <c r="V40" s="280">
        <f>V38+V36</f>
        <v>11040.557747747749</v>
      </c>
      <c r="X40" s="141"/>
      <c r="Y40" s="125"/>
      <c r="Z40" s="125">
        <f>Z38+Z12-Z34</f>
        <v>10575.467747747745</v>
      </c>
      <c r="AA40" s="125">
        <f>AA12-AA34+AA38-AA39</f>
        <v>-147</v>
      </c>
      <c r="AB40" s="125">
        <f>AB12-AB34+AB38-AB39</f>
        <v>9963.3777477477433</v>
      </c>
      <c r="AC40" s="182"/>
      <c r="AE40" s="141"/>
      <c r="AF40" s="125">
        <f>AF12-AF34+AF38-AF39</f>
        <v>11789.56424774774</v>
      </c>
    </row>
    <row r="41" spans="1:36" s="139" customFormat="1" ht="15.75" thickTop="1" x14ac:dyDescent="0.25">
      <c r="A41" s="138"/>
      <c r="C41" s="140"/>
      <c r="E41" s="141"/>
      <c r="H41" s="138"/>
      <c r="I41" s="141"/>
      <c r="O41" s="181"/>
      <c r="P41" s="141"/>
      <c r="T41" s="141"/>
      <c r="X41" s="141"/>
      <c r="AE41" s="141"/>
    </row>
    <row r="42" spans="1:36" s="139" customFormat="1" x14ac:dyDescent="0.25">
      <c r="A42" s="138"/>
      <c r="C42" s="140"/>
      <c r="E42" s="141"/>
      <c r="H42" s="138"/>
      <c r="I42" s="141"/>
      <c r="M42" s="182"/>
      <c r="O42" s="181"/>
      <c r="P42" s="141"/>
      <c r="T42" s="141"/>
      <c r="X42" s="141"/>
      <c r="AE42" s="141"/>
    </row>
    <row r="43" spans="1:36" ht="105" customHeight="1" x14ac:dyDescent="0.25">
      <c r="Q43" s="183"/>
      <c r="R43" s="183"/>
      <c r="S43" s="183"/>
      <c r="Y43" s="183"/>
      <c r="Z43" s="183"/>
      <c r="AA43" s="183"/>
      <c r="AB43" s="183"/>
      <c r="AC43" s="183"/>
    </row>
    <row r="45" spans="1:36" x14ac:dyDescent="0.25">
      <c r="Q45" s="182"/>
      <c r="R45" s="182"/>
      <c r="S45" s="182"/>
      <c r="Y45" s="182"/>
      <c r="Z45" s="182"/>
      <c r="AA45" s="182"/>
      <c r="AB45" s="182"/>
      <c r="AC45" s="182"/>
    </row>
  </sheetData>
  <mergeCells count="3">
    <mergeCell ref="B1:D1"/>
    <mergeCell ref="F1:H1"/>
    <mergeCell ref="J1:O1"/>
  </mergeCells>
  <conditionalFormatting sqref="D4:E11 D16:E34">
    <cfRule type="colorScale" priority="22">
      <colorScale>
        <cfvo type="num" val="&quot;&gt;=0&quot;"/>
        <cfvo type="num" val="&quot;&gt;0&quot;"/>
        <color rgb="FF92D050"/>
        <color rgb="FFFF0000"/>
      </colorScale>
    </cfRule>
  </conditionalFormatting>
  <conditionalFormatting sqref="I4:I11 I16:I34">
    <cfRule type="colorScale" priority="20">
      <colorScale>
        <cfvo type="num" val="&quot;&gt;=0&quot;"/>
        <cfvo type="num" val="&quot;&gt;0&quot;"/>
        <color rgb="FF92D050"/>
        <color rgb="FFFF0000"/>
      </colorScale>
    </cfRule>
  </conditionalFormatting>
  <conditionalFormatting sqref="P4:P11 P16:P34">
    <cfRule type="colorScale" priority="19">
      <colorScale>
        <cfvo type="num" val="&quot;&gt;=0&quot;"/>
        <cfvo type="num" val="&quot;&gt;0&quot;"/>
        <color rgb="FF92D050"/>
        <color rgb="FFFF0000"/>
      </colorScale>
    </cfRule>
  </conditionalFormatting>
  <conditionalFormatting sqref="T4:T11 X4:X11 T16:T34 X16:X34">
    <cfRule type="colorScale" priority="8">
      <colorScale>
        <cfvo type="num" val="&quot;&gt;=0&quot;"/>
        <cfvo type="num" val="&quot;&gt;0&quot;"/>
        <color rgb="FF92D050"/>
        <color rgb="FFFF0000"/>
      </colorScale>
    </cfRule>
  </conditionalFormatting>
  <conditionalFormatting sqref="AB36:AC36">
    <cfRule type="cellIs" dxfId="3" priority="13" operator="lessThan">
      <formula>0</formula>
    </cfRule>
    <cfRule type="cellIs" dxfId="2" priority="14" operator="greaterThan">
      <formula>0</formula>
    </cfRule>
  </conditionalFormatting>
  <conditionalFormatting sqref="AE4:AE11 AE16:AE34">
    <cfRule type="colorScale" priority="3">
      <colorScale>
        <cfvo type="num" val="&quot;&gt;=0&quot;"/>
        <cfvo type="num" val="&quot;&gt;0&quot;"/>
        <color rgb="FF92D050"/>
        <color rgb="FFFF0000"/>
      </colorScale>
    </cfRule>
  </conditionalFormatting>
  <conditionalFormatting sqref="AF3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Income and Expenditure</vt:lpstr>
      <vt:lpstr>VAT</vt:lpstr>
      <vt:lpstr>S137</vt:lpstr>
      <vt:lpstr>Bank Statements</vt:lpstr>
      <vt:lpstr>Balance Sheet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Stroud</dc:creator>
  <cp:lastModifiedBy>Caroline Crowder</cp:lastModifiedBy>
  <cp:lastPrinted>2024-04-09T14:17:55Z</cp:lastPrinted>
  <dcterms:created xsi:type="dcterms:W3CDTF">2017-05-03T11:38:41Z</dcterms:created>
  <dcterms:modified xsi:type="dcterms:W3CDTF">2024-05-21T11:01:53Z</dcterms:modified>
</cp:coreProperties>
</file>